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arc-server\企画_共\J 情報システム\ホームページ\nouken_hp\seika\h23\"/>
    </mc:Choice>
  </mc:AlternateContent>
  <bookViews>
    <workbookView xWindow="0" yWindow="45" windowWidth="8940" windowHeight="6780" tabRatio="680"/>
  </bookViews>
  <sheets>
    <sheet name="表紙" sheetId="4" r:id="rId1"/>
    <sheet name="演算S" sheetId="8" r:id="rId2"/>
    <sheet name="作物別目標" sheetId="3" r:id="rId3"/>
    <sheet name="補給施基" sheetId="5" r:id="rId4"/>
    <sheet name="旧施基" sheetId="44172" r:id="rId5"/>
  </sheets>
  <definedNames>
    <definedName name="_xlnm._FilterDatabase" localSheetId="2" hidden="1">作物別目標!$C$1:$C$153</definedName>
    <definedName name="_xlnm._FilterDatabase" localSheetId="0" hidden="1">表紙!$AB$58:$AB$60</definedName>
    <definedName name="_xlnm._FilterDatabase" localSheetId="3" hidden="1">補給施基!$A$1:$L$183</definedName>
    <definedName name="_xlnm.Print_Area" localSheetId="0">表紙!$A$1:$Z$49</definedName>
  </definedNames>
  <calcPr calcId="162913"/>
</workbook>
</file>

<file path=xl/calcChain.xml><?xml version="1.0" encoding="utf-8"?>
<calcChain xmlns="http://schemas.openxmlformats.org/spreadsheetml/2006/main">
  <c r="A6" i="8" l="1"/>
  <c r="B6" i="8" s="1"/>
  <c r="C6" i="8"/>
  <c r="D6" i="8"/>
  <c r="B16" i="8" s="1"/>
  <c r="E6" i="8"/>
  <c r="F6" i="8" s="1"/>
  <c r="H6" i="8"/>
  <c r="J6" i="8" s="1"/>
  <c r="I6" i="8"/>
  <c r="B10" i="8"/>
  <c r="B11" i="8" s="1"/>
  <c r="B12" i="8" s="1"/>
  <c r="B32" i="8"/>
  <c r="C32" i="8"/>
  <c r="D32" i="8"/>
  <c r="E32" i="8"/>
  <c r="F32" i="8"/>
  <c r="A5" i="44172"/>
  <c r="A6" i="44172"/>
  <c r="A7" i="44172"/>
  <c r="A8" i="44172"/>
  <c r="A9" i="44172"/>
  <c r="A10" i="44172"/>
  <c r="A11" i="44172"/>
  <c r="A12" i="44172"/>
  <c r="A13" i="44172"/>
  <c r="A14" i="44172"/>
  <c r="A15" i="44172"/>
  <c r="A16" i="44172"/>
  <c r="A17" i="44172"/>
  <c r="A18" i="44172"/>
  <c r="A19" i="44172"/>
  <c r="A20" i="44172"/>
  <c r="A21" i="44172"/>
  <c r="A22" i="44172"/>
  <c r="A23" i="44172"/>
  <c r="A24" i="44172"/>
  <c r="A25" i="44172"/>
  <c r="A26" i="44172"/>
  <c r="A27" i="44172"/>
  <c r="A28" i="44172"/>
  <c r="A29" i="44172"/>
  <c r="A30" i="44172"/>
  <c r="A31" i="44172"/>
  <c r="A32" i="44172"/>
  <c r="A33" i="44172"/>
  <c r="A34" i="44172"/>
  <c r="A35" i="44172"/>
  <c r="A36" i="44172"/>
  <c r="A37" i="44172"/>
  <c r="A38" i="44172"/>
  <c r="A39" i="44172"/>
  <c r="A40" i="44172"/>
  <c r="A41" i="44172"/>
  <c r="A42" i="44172"/>
  <c r="A43" i="44172"/>
  <c r="A44" i="44172"/>
  <c r="A45" i="44172"/>
  <c r="A46" i="44172"/>
  <c r="A47" i="44172"/>
  <c r="A48" i="44172"/>
  <c r="A49" i="44172"/>
  <c r="A50" i="44172"/>
  <c r="A51" i="44172"/>
  <c r="A52" i="44172"/>
  <c r="A53" i="44172"/>
  <c r="A54" i="44172"/>
  <c r="A55" i="44172"/>
  <c r="A56" i="44172"/>
  <c r="A57" i="44172"/>
  <c r="A58" i="44172"/>
  <c r="A59" i="44172"/>
  <c r="A60" i="44172"/>
  <c r="A61" i="44172"/>
  <c r="A62" i="44172"/>
  <c r="A63" i="44172"/>
  <c r="A64" i="44172"/>
  <c r="A65" i="44172"/>
  <c r="A66" i="44172"/>
  <c r="A67" i="44172"/>
  <c r="A68" i="44172"/>
  <c r="A69" i="44172"/>
  <c r="A70" i="44172"/>
  <c r="A71" i="44172"/>
  <c r="A72" i="44172"/>
  <c r="A73" i="44172"/>
  <c r="A74" i="44172"/>
  <c r="A75" i="44172"/>
  <c r="A76" i="44172"/>
  <c r="A77" i="44172"/>
  <c r="A78" i="44172"/>
  <c r="A79" i="44172"/>
  <c r="A80" i="44172"/>
  <c r="A81" i="44172"/>
  <c r="A82" i="44172"/>
  <c r="A83" i="44172"/>
  <c r="A84" i="44172"/>
  <c r="A85" i="44172"/>
  <c r="A86" i="44172"/>
  <c r="A87" i="44172"/>
  <c r="A88" i="44172"/>
  <c r="A89" i="44172"/>
  <c r="A90" i="44172"/>
  <c r="A91" i="44172"/>
  <c r="A92" i="44172"/>
  <c r="A93" i="44172"/>
  <c r="A94" i="44172"/>
  <c r="A95" i="44172"/>
  <c r="A96" i="44172"/>
  <c r="A97" i="44172"/>
  <c r="A98" i="44172"/>
  <c r="A99" i="44172"/>
  <c r="A100" i="44172"/>
  <c r="A101" i="44172"/>
  <c r="A102" i="44172"/>
  <c r="A103" i="44172"/>
  <c r="A104" i="44172"/>
  <c r="A105" i="44172"/>
  <c r="A106" i="44172"/>
  <c r="A107" i="44172"/>
  <c r="A108" i="44172"/>
  <c r="A109" i="44172"/>
  <c r="A110" i="44172"/>
  <c r="A111" i="44172"/>
  <c r="A112" i="44172"/>
  <c r="A113" i="44172"/>
  <c r="A114" i="44172"/>
  <c r="A115" i="44172"/>
  <c r="A116" i="44172"/>
  <c r="A117" i="44172"/>
  <c r="A118" i="44172"/>
  <c r="A119" i="44172"/>
  <c r="A120" i="44172"/>
  <c r="A121" i="44172"/>
  <c r="A122" i="44172"/>
  <c r="A123" i="44172"/>
  <c r="A124" i="44172"/>
  <c r="A125" i="44172"/>
  <c r="A126" i="44172"/>
  <c r="A127" i="44172"/>
  <c r="A128" i="44172"/>
  <c r="A129" i="44172"/>
  <c r="A130" i="44172"/>
  <c r="A131" i="44172"/>
  <c r="A132" i="44172"/>
  <c r="A133" i="44172"/>
  <c r="A134" i="44172"/>
  <c r="A135" i="44172"/>
  <c r="A136" i="44172"/>
  <c r="A137" i="44172"/>
  <c r="A138" i="44172"/>
  <c r="A139" i="44172"/>
  <c r="A140" i="44172"/>
  <c r="A141" i="44172"/>
  <c r="A142" i="44172"/>
  <c r="A143" i="44172"/>
  <c r="A144" i="44172"/>
  <c r="A145" i="44172"/>
  <c r="A146" i="44172"/>
  <c r="A147" i="44172"/>
  <c r="A148" i="44172"/>
  <c r="A149" i="44172"/>
  <c r="A150" i="44172"/>
  <c r="A151" i="44172"/>
  <c r="A152" i="44172"/>
  <c r="A153" i="44172"/>
  <c r="A154" i="44172"/>
  <c r="A155" i="44172"/>
  <c r="A156" i="44172"/>
  <c r="A157" i="44172"/>
  <c r="A158" i="44172"/>
  <c r="A159" i="44172"/>
  <c r="A160" i="44172"/>
  <c r="A161" i="44172"/>
  <c r="A162" i="44172"/>
  <c r="A163" i="44172"/>
  <c r="A164" i="44172"/>
  <c r="A165" i="44172"/>
  <c r="A166" i="44172"/>
  <c r="A167" i="44172"/>
  <c r="A168" i="44172"/>
  <c r="A169" i="44172"/>
  <c r="A170" i="44172"/>
  <c r="A171" i="44172"/>
  <c r="A172" i="44172"/>
  <c r="A173" i="44172"/>
  <c r="A174" i="44172"/>
  <c r="A175" i="44172"/>
  <c r="A176" i="44172"/>
  <c r="A177" i="44172"/>
  <c r="A178" i="44172"/>
  <c r="A179" i="44172"/>
  <c r="A180" i="44172"/>
  <c r="A181" i="44172"/>
  <c r="A182" i="44172"/>
  <c r="A183" i="44172"/>
  <c r="A4" i="3"/>
  <c r="A5" i="3"/>
  <c r="A6" i="3"/>
  <c r="A7" i="3"/>
  <c r="A8" i="3"/>
  <c r="A9" i="3"/>
  <c r="A10"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61" i="3"/>
  <c r="A62" i="3"/>
  <c r="A63" i="3"/>
  <c r="A64" i="3"/>
  <c r="A65" i="3"/>
  <c r="A66" i="3"/>
  <c r="A67" i="3"/>
  <c r="A68" i="3"/>
  <c r="A69" i="3"/>
  <c r="A70" i="3"/>
  <c r="A71" i="3"/>
  <c r="A72" i="3"/>
  <c r="A81" i="3"/>
  <c r="A82" i="3"/>
  <c r="A83" i="3"/>
  <c r="A84" i="3"/>
  <c r="A85" i="3"/>
  <c r="A87" i="3"/>
  <c r="G31" i="4"/>
  <c r="J31" i="4"/>
  <c r="P31" i="4"/>
  <c r="S31" i="4"/>
  <c r="G32" i="4"/>
  <c r="J32" i="4"/>
  <c r="P32" i="4"/>
  <c r="S32" i="4"/>
  <c r="O37" i="4"/>
  <c r="AE58" i="4"/>
  <c r="AF58" i="4"/>
  <c r="AG58" i="4" s="1"/>
  <c r="AM58" i="4"/>
  <c r="AR58" i="4"/>
  <c r="AE59" i="4"/>
  <c r="AF59" i="4" s="1"/>
  <c r="AG59" i="4" s="1"/>
  <c r="AM59" i="4"/>
  <c r="AR59" i="4"/>
  <c r="AE60" i="4"/>
  <c r="AF60" i="4"/>
  <c r="AG60" i="4" s="1"/>
  <c r="AM60" i="4"/>
  <c r="AR60" i="4"/>
  <c r="AE61" i="4"/>
  <c r="AF61" i="4" s="1"/>
  <c r="AG61" i="4" s="1"/>
  <c r="AM61" i="4"/>
  <c r="AR61" i="4"/>
  <c r="AE62" i="4"/>
  <c r="AF62" i="4"/>
  <c r="AG62" i="4" s="1"/>
  <c r="AM62" i="4"/>
  <c r="AR62" i="4"/>
  <c r="AE63" i="4"/>
  <c r="AF63" i="4" s="1"/>
  <c r="AG63" i="4" s="1"/>
  <c r="AM63" i="4"/>
  <c r="AR63" i="4"/>
  <c r="AE64" i="4"/>
  <c r="AF64" i="4"/>
  <c r="AG64" i="4" s="1"/>
  <c r="AM64" i="4"/>
  <c r="AR64" i="4"/>
  <c r="AE65" i="4"/>
  <c r="AF65" i="4" s="1"/>
  <c r="AG65" i="4" s="1"/>
  <c r="AM65" i="4"/>
  <c r="AR65" i="4"/>
  <c r="AE66" i="4"/>
  <c r="AF66" i="4"/>
  <c r="AG66" i="4" s="1"/>
  <c r="AM66" i="4"/>
  <c r="AR66" i="4"/>
  <c r="AE67" i="4"/>
  <c r="AF67" i="4" s="1"/>
  <c r="AG67" i="4" s="1"/>
  <c r="AM67" i="4"/>
  <c r="AR67" i="4"/>
  <c r="AE68" i="4"/>
  <c r="AF68" i="4"/>
  <c r="AG68" i="4" s="1"/>
  <c r="AM68" i="4"/>
  <c r="AR68" i="4"/>
  <c r="AE69" i="4"/>
  <c r="AF69" i="4" s="1"/>
  <c r="AG69" i="4" s="1"/>
  <c r="AM69" i="4"/>
  <c r="AR69" i="4"/>
  <c r="AE70" i="4"/>
  <c r="AF70" i="4"/>
  <c r="AG70" i="4" s="1"/>
  <c r="AM70" i="4"/>
  <c r="AR70" i="4"/>
  <c r="AE71" i="4"/>
  <c r="AF71" i="4" s="1"/>
  <c r="AG71" i="4" s="1"/>
  <c r="AM71" i="4"/>
  <c r="AR71" i="4"/>
  <c r="AE72" i="4"/>
  <c r="AF72" i="4"/>
  <c r="AG72" i="4" s="1"/>
  <c r="AM72" i="4"/>
  <c r="AR72" i="4"/>
  <c r="AE73" i="4"/>
  <c r="AF73" i="4" s="1"/>
  <c r="AG73" i="4" s="1"/>
  <c r="AM73" i="4"/>
  <c r="AR73" i="4"/>
  <c r="AE74" i="4"/>
  <c r="AF74" i="4"/>
  <c r="AG74" i="4" s="1"/>
  <c r="AM74" i="4"/>
  <c r="AR74" i="4"/>
  <c r="AE75" i="4"/>
  <c r="AF75" i="4" s="1"/>
  <c r="AG75" i="4" s="1"/>
  <c r="AM75" i="4"/>
  <c r="AR75" i="4"/>
  <c r="AM76" i="4"/>
  <c r="AR76" i="4"/>
  <c r="AM77" i="4"/>
  <c r="AR77" i="4"/>
  <c r="AE78" i="4"/>
  <c r="AF78" i="4" s="1"/>
  <c r="AG78" i="4" s="1"/>
  <c r="AM78" i="4"/>
  <c r="AR78" i="4"/>
  <c r="AE79" i="4"/>
  <c r="AF79" i="4" s="1"/>
  <c r="AG79" i="4" s="1"/>
  <c r="AM79" i="4"/>
  <c r="AR79" i="4"/>
  <c r="AM80" i="4"/>
  <c r="AR80" i="4"/>
  <c r="AM81" i="4"/>
  <c r="AR81" i="4"/>
  <c r="AE82" i="4"/>
  <c r="AF82" i="4"/>
  <c r="AG82" i="4" s="1"/>
  <c r="AM82" i="4"/>
  <c r="AR82" i="4"/>
  <c r="AE83" i="4"/>
  <c r="AF83" i="4" s="1"/>
  <c r="AG83" i="4" s="1"/>
  <c r="AM83" i="4"/>
  <c r="AR83" i="4"/>
  <c r="AM84" i="4"/>
  <c r="AR84" i="4"/>
  <c r="AM85" i="4"/>
  <c r="AR85" i="4"/>
  <c r="AE86" i="4"/>
  <c r="AF86" i="4" s="1"/>
  <c r="AG86" i="4" s="1"/>
  <c r="AM86" i="4"/>
  <c r="AR86" i="4"/>
  <c r="AE87" i="4"/>
  <c r="AF87" i="4" s="1"/>
  <c r="AG87" i="4" s="1"/>
  <c r="AM87" i="4"/>
  <c r="AR87" i="4"/>
  <c r="AM88" i="4"/>
  <c r="AR88" i="4"/>
  <c r="AM89" i="4"/>
  <c r="AR89" i="4"/>
  <c r="AE90" i="4"/>
  <c r="AF90" i="4"/>
  <c r="AG90" i="4" s="1"/>
  <c r="AM90" i="4"/>
  <c r="AR90" i="4"/>
  <c r="AE91" i="4"/>
  <c r="AF91" i="4" s="1"/>
  <c r="AG91" i="4" s="1"/>
  <c r="AM91" i="4"/>
  <c r="AR91" i="4"/>
  <c r="AM92" i="4"/>
  <c r="AR92" i="4"/>
  <c r="AM93" i="4"/>
  <c r="AR93" i="4"/>
  <c r="AE94" i="4"/>
  <c r="AF94" i="4" s="1"/>
  <c r="AG94" i="4" s="1"/>
  <c r="AM94" i="4"/>
  <c r="AR94" i="4"/>
  <c r="AE95" i="4"/>
  <c r="AF95" i="4" s="1"/>
  <c r="AG95" i="4" s="1"/>
  <c r="AM95" i="4"/>
  <c r="AR95" i="4"/>
  <c r="AM96" i="4"/>
  <c r="AR96" i="4"/>
  <c r="AM97" i="4"/>
  <c r="AR97" i="4"/>
  <c r="AM98" i="4"/>
  <c r="AR98" i="4"/>
  <c r="AM99" i="4"/>
  <c r="AR99" i="4"/>
  <c r="AM100" i="4"/>
  <c r="AR100" i="4"/>
  <c r="AM101" i="4"/>
  <c r="AR101" i="4"/>
  <c r="AM102" i="4"/>
  <c r="AR102" i="4"/>
  <c r="AM103" i="4"/>
  <c r="AR103" i="4"/>
  <c r="AM104" i="4"/>
  <c r="AR104" i="4"/>
  <c r="AM105" i="4"/>
  <c r="AR105" i="4"/>
  <c r="AM106" i="4"/>
  <c r="AR106" i="4"/>
  <c r="AM107" i="4"/>
  <c r="AR107" i="4"/>
  <c r="AM108" i="4"/>
  <c r="AR108" i="4"/>
  <c r="AM109" i="4"/>
  <c r="AR109" i="4"/>
  <c r="AM110" i="4"/>
  <c r="AR110" i="4"/>
  <c r="AM111" i="4"/>
  <c r="AR111" i="4"/>
  <c r="AM112" i="4"/>
  <c r="AR112" i="4"/>
  <c r="AM113" i="4"/>
  <c r="AR113" i="4"/>
  <c r="AM114" i="4"/>
  <c r="AR114" i="4"/>
  <c r="AM115" i="4"/>
  <c r="AR115" i="4"/>
  <c r="AM116" i="4"/>
  <c r="AR116" i="4"/>
  <c r="AM117" i="4"/>
  <c r="AR117" i="4"/>
  <c r="AM118" i="4"/>
  <c r="AR118" i="4"/>
  <c r="AM119" i="4"/>
  <c r="AR119" i="4"/>
  <c r="AM120" i="4"/>
  <c r="AR120" i="4"/>
  <c r="AM121" i="4"/>
  <c r="AR121" i="4"/>
  <c r="AM122" i="4"/>
  <c r="AR122" i="4"/>
  <c r="AM123" i="4"/>
  <c r="AR123" i="4"/>
  <c r="AM124" i="4"/>
  <c r="AR124" i="4"/>
  <c r="AM125" i="4"/>
  <c r="AR125" i="4"/>
  <c r="AR126" i="4"/>
  <c r="AR127" i="4"/>
  <c r="AR128" i="4"/>
  <c r="AR129" i="4"/>
  <c r="AR130" i="4"/>
  <c r="AR131" i="4"/>
  <c r="AR132" i="4"/>
  <c r="AR133" i="4"/>
  <c r="AR134" i="4"/>
  <c r="AR135" i="4"/>
  <c r="AR136" i="4"/>
  <c r="AR137" i="4"/>
  <c r="AR138" i="4"/>
  <c r="AR139" i="4"/>
  <c r="AR140" i="4"/>
  <c r="AR141" i="4"/>
  <c r="AR142" i="4"/>
  <c r="AR143" i="4"/>
  <c r="AR144" i="4"/>
  <c r="AR145" i="4"/>
  <c r="AR146" i="4"/>
  <c r="AR147" i="4"/>
  <c r="AR148" i="4"/>
  <c r="AR149" i="4"/>
  <c r="AR150" i="4"/>
  <c r="AR151" i="4"/>
  <c r="AR152" i="4"/>
  <c r="AR153" i="4"/>
  <c r="AR154" i="4"/>
  <c r="AR155" i="4"/>
  <c r="AR156" i="4"/>
  <c r="AR157" i="4"/>
  <c r="AR158" i="4"/>
  <c r="AR159" i="4"/>
  <c r="AR160" i="4"/>
  <c r="AR161" i="4"/>
  <c r="AR162" i="4"/>
  <c r="AR163" i="4"/>
  <c r="AR164" i="4"/>
  <c r="AR165" i="4"/>
  <c r="AR166" i="4"/>
  <c r="AR167" i="4"/>
  <c r="AR168" i="4"/>
  <c r="AR169" i="4"/>
  <c r="AR170" i="4"/>
  <c r="AR171" i="4"/>
  <c r="AR172" i="4"/>
  <c r="AR173" i="4"/>
  <c r="AR174" i="4"/>
  <c r="AR175" i="4"/>
  <c r="AR176" i="4"/>
  <c r="AR177" i="4"/>
  <c r="AR178" i="4"/>
  <c r="AR179" i="4"/>
  <c r="AR180" i="4"/>
  <c r="AR181" i="4"/>
  <c r="AR182" i="4"/>
  <c r="AR183" i="4"/>
  <c r="AR184" i="4"/>
  <c r="AR185" i="4"/>
  <c r="AR186" i="4"/>
  <c r="AR187" i="4"/>
  <c r="AR188" i="4"/>
  <c r="AR189" i="4"/>
  <c r="AR190" i="4"/>
  <c r="AR191" i="4"/>
  <c r="AR192" i="4"/>
  <c r="AR193" i="4"/>
  <c r="AR194" i="4"/>
  <c r="AR195" i="4"/>
  <c r="AR196" i="4"/>
  <c r="AR197" i="4"/>
  <c r="AR198" i="4"/>
  <c r="AR199" i="4"/>
  <c r="AR200" i="4"/>
  <c r="AR201" i="4"/>
  <c r="AR202" i="4"/>
  <c r="AR203" i="4"/>
  <c r="AR204" i="4"/>
  <c r="AR205" i="4"/>
  <c r="AR206" i="4"/>
  <c r="AR207" i="4"/>
  <c r="AR208" i="4"/>
  <c r="AR209" i="4"/>
  <c r="AR210" i="4"/>
  <c r="AR211" i="4"/>
  <c r="AR212" i="4"/>
  <c r="AR213" i="4"/>
  <c r="AR214" i="4"/>
  <c r="AR215" i="4"/>
  <c r="AR216" i="4"/>
  <c r="AR217" i="4"/>
  <c r="AR218" i="4"/>
  <c r="AR219" i="4"/>
  <c r="AR220" i="4"/>
  <c r="AR221" i="4"/>
  <c r="AR222" i="4"/>
  <c r="AR223" i="4"/>
  <c r="AR224" i="4"/>
  <c r="AR225" i="4"/>
  <c r="AR226" i="4"/>
  <c r="AR227" i="4"/>
  <c r="AR228" i="4"/>
  <c r="AR229" i="4"/>
  <c r="AR230" i="4"/>
  <c r="AR231" i="4"/>
  <c r="AR232" i="4"/>
  <c r="AR233" i="4"/>
  <c r="AR234" i="4"/>
  <c r="AR235" i="4"/>
  <c r="AR236" i="4"/>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C23" i="8" l="1"/>
  <c r="D35" i="8"/>
  <c r="C36" i="8"/>
  <c r="I42" i="8"/>
  <c r="C44" i="4" s="1"/>
  <c r="E35" i="8"/>
  <c r="D36" i="8"/>
  <c r="H42" i="8"/>
  <c r="F35" i="8"/>
  <c r="F36" i="8" s="1"/>
  <c r="F37" i="8" s="1"/>
  <c r="E36" i="8"/>
  <c r="B17" i="8"/>
  <c r="B33" i="8" s="1"/>
  <c r="K44" i="4"/>
  <c r="G27" i="8"/>
  <c r="H27" i="8"/>
  <c r="H28" i="8" s="1"/>
  <c r="F27" i="8"/>
  <c r="F28" i="8" s="1"/>
  <c r="I27" i="8"/>
  <c r="AE76" i="4"/>
  <c r="AF76" i="4" s="1"/>
  <c r="AG76" i="4" s="1"/>
  <c r="AE80" i="4"/>
  <c r="AF80" i="4" s="1"/>
  <c r="AG80" i="4" s="1"/>
  <c r="AE84" i="4"/>
  <c r="AF84" i="4" s="1"/>
  <c r="AG84" i="4" s="1"/>
  <c r="AE88" i="4"/>
  <c r="AF88" i="4" s="1"/>
  <c r="AG88" i="4" s="1"/>
  <c r="AE92" i="4"/>
  <c r="AF92" i="4" s="1"/>
  <c r="AG92" i="4" s="1"/>
  <c r="G6" i="8"/>
  <c r="K6" i="8"/>
  <c r="B35" i="8"/>
  <c r="AE77" i="4"/>
  <c r="AF77" i="4" s="1"/>
  <c r="AG77" i="4" s="1"/>
  <c r="AE81" i="4"/>
  <c r="AF81" i="4" s="1"/>
  <c r="AG81" i="4" s="1"/>
  <c r="AE85" i="4"/>
  <c r="AF85" i="4" s="1"/>
  <c r="AG85" i="4" s="1"/>
  <c r="AE89" i="4"/>
  <c r="AF89" i="4" s="1"/>
  <c r="AG89" i="4" s="1"/>
  <c r="AE93" i="4"/>
  <c r="AF93" i="4" s="1"/>
  <c r="AG93" i="4" s="1"/>
  <c r="AH73" i="4"/>
  <c r="AI73" i="4" s="1"/>
  <c r="AJ73" i="4" s="1"/>
  <c r="AH72" i="4"/>
  <c r="AI72" i="4" s="1"/>
  <c r="AJ72" i="4" s="1"/>
  <c r="AH71" i="4"/>
  <c r="AI71" i="4" s="1"/>
  <c r="AJ71" i="4" s="1"/>
  <c r="AH70" i="4"/>
  <c r="AI70" i="4" s="1"/>
  <c r="AJ70" i="4" s="1"/>
  <c r="AH69" i="4"/>
  <c r="AI69" i="4" s="1"/>
  <c r="AJ69" i="4" s="1"/>
  <c r="AH68" i="4"/>
  <c r="AI68" i="4" s="1"/>
  <c r="AJ68" i="4" s="1"/>
  <c r="AH67" i="4"/>
  <c r="AI67" i="4" s="1"/>
  <c r="AJ67" i="4" s="1"/>
  <c r="AH66" i="4"/>
  <c r="AI66" i="4" s="1"/>
  <c r="AJ66" i="4" s="1"/>
  <c r="AH65" i="4"/>
  <c r="AI65" i="4" s="1"/>
  <c r="AJ65" i="4" s="1"/>
  <c r="AH64" i="4"/>
  <c r="AI64" i="4" s="1"/>
  <c r="AJ64" i="4" s="1"/>
  <c r="AH63" i="4"/>
  <c r="AI63" i="4" s="1"/>
  <c r="AJ63" i="4" s="1"/>
  <c r="AH62" i="4"/>
  <c r="AI62" i="4" s="1"/>
  <c r="AJ62" i="4" s="1"/>
  <c r="AH61" i="4"/>
  <c r="AI61" i="4" s="1"/>
  <c r="AJ61" i="4" s="1"/>
  <c r="AH60" i="4"/>
  <c r="AI60" i="4" s="1"/>
  <c r="AJ60" i="4" s="1"/>
  <c r="AH59" i="4"/>
  <c r="AI59" i="4" s="1"/>
  <c r="AJ59" i="4" s="1"/>
  <c r="AH58" i="4"/>
  <c r="AI58" i="4" s="1"/>
  <c r="AJ58" i="4" s="1"/>
  <c r="C25" i="8"/>
  <c r="C24" i="8" s="1"/>
  <c r="B28" i="8" s="1"/>
  <c r="D16" i="8"/>
  <c r="D17" i="8" s="1"/>
  <c r="D33" i="8" s="1"/>
  <c r="C35" i="8"/>
  <c r="E16" i="8"/>
  <c r="E17" i="8" s="1"/>
  <c r="E33" i="8" s="1"/>
  <c r="L6" i="8"/>
  <c r="C16" i="8"/>
  <c r="C17" i="8" s="1"/>
  <c r="C33" i="8" s="1"/>
  <c r="E46" i="8" l="1"/>
  <c r="C39" i="8"/>
  <c r="C46" i="8"/>
  <c r="D46" i="8"/>
  <c r="B39" i="8"/>
  <c r="B36" i="8"/>
  <c r="B38" i="8" s="1"/>
  <c r="B46" i="8"/>
  <c r="M6" i="8"/>
  <c r="C11" i="4" s="1"/>
  <c r="C38" i="8"/>
  <c r="E34" i="8"/>
  <c r="F34" i="8"/>
  <c r="D34" i="8"/>
  <c r="D37" i="8" l="1"/>
  <c r="D38" i="8" s="1"/>
  <c r="D39" i="8" s="1"/>
  <c r="E42" i="8" s="1"/>
  <c r="B42" i="8"/>
  <c r="C39" i="4" s="1"/>
  <c r="E33" i="4"/>
  <c r="E32" i="4"/>
  <c r="C42" i="8"/>
  <c r="K39" i="4" s="1"/>
  <c r="H32" i="4"/>
  <c r="H33" i="4"/>
  <c r="C45" i="4"/>
  <c r="F38" i="8"/>
  <c r="F39" i="8" s="1"/>
  <c r="W33" i="4"/>
  <c r="M49" i="4"/>
  <c r="W32" i="4"/>
  <c r="E37" i="8"/>
  <c r="E38" i="8" s="1"/>
  <c r="E39" i="8" s="1"/>
  <c r="F46" i="8"/>
  <c r="B35" i="4" s="1"/>
  <c r="D42" i="8" l="1"/>
  <c r="C41" i="4" s="1"/>
  <c r="D43" i="8"/>
  <c r="C42" i="4" s="1"/>
  <c r="Q33" i="4"/>
  <c r="Q32" i="4"/>
  <c r="F43" i="8"/>
  <c r="K42" i="4" s="1"/>
  <c r="Y28" i="4"/>
  <c r="Y29" i="4"/>
  <c r="Y32" i="4"/>
  <c r="Y27" i="4"/>
  <c r="Y26" i="4"/>
  <c r="Y30" i="4"/>
  <c r="Y31" i="4"/>
  <c r="G28" i="4"/>
  <c r="G29" i="4"/>
  <c r="G27" i="4"/>
  <c r="G26" i="4"/>
  <c r="G30" i="4"/>
  <c r="G42" i="8"/>
  <c r="K41" i="4" s="1"/>
  <c r="F42" i="8"/>
  <c r="J27" i="4"/>
  <c r="J28" i="4"/>
  <c r="J26" i="4"/>
  <c r="J29" i="4"/>
  <c r="J30" i="4"/>
  <c r="N32" i="4"/>
  <c r="N33" i="4"/>
  <c r="S29" i="4" l="1"/>
  <c r="S26" i="4"/>
  <c r="S30" i="4"/>
  <c r="S27" i="4"/>
  <c r="S28" i="4"/>
  <c r="P26" i="4"/>
  <c r="P30" i="4"/>
  <c r="P27" i="4"/>
  <c r="P28" i="4"/>
  <c r="P29" i="4"/>
</calcChain>
</file>

<file path=xl/sharedStrings.xml><?xml version="1.0" encoding="utf-8"?>
<sst xmlns="http://schemas.openxmlformats.org/spreadsheetml/2006/main" count="2365" uniqueCount="646">
  <si>
    <t>土壌改良目標値</t>
    <rPh sb="0" eb="2">
      <t>ドジョウ</t>
    </rPh>
    <rPh sb="2" eb="4">
      <t>カイリョウ</t>
    </rPh>
    <rPh sb="4" eb="7">
      <t>モクヒョウチ</t>
    </rPh>
    <phoneticPr fontId="2"/>
  </si>
  <si>
    <t>作物名</t>
    <rPh sb="0" eb="2">
      <t>サクモツ</t>
    </rPh>
    <rPh sb="2" eb="3">
      <t>メイ</t>
    </rPh>
    <phoneticPr fontId="2"/>
  </si>
  <si>
    <t>pH</t>
    <phoneticPr fontId="2"/>
  </si>
  <si>
    <t>EC</t>
    <phoneticPr fontId="2"/>
  </si>
  <si>
    <t>塩基飽和度(%)</t>
    <rPh sb="0" eb="2">
      <t>エンキ</t>
    </rPh>
    <rPh sb="2" eb="5">
      <t>ホウワド</t>
    </rPh>
    <phoneticPr fontId="2"/>
  </si>
  <si>
    <t>全体</t>
    <rPh sb="0" eb="2">
      <t>ゼンタイ</t>
    </rPh>
    <phoneticPr fontId="2"/>
  </si>
  <si>
    <t>石灰</t>
    <rPh sb="0" eb="2">
      <t>セッカイ</t>
    </rPh>
    <phoneticPr fontId="2"/>
  </si>
  <si>
    <t>苦土</t>
    <rPh sb="0" eb="1">
      <t>ク</t>
    </rPh>
    <rPh sb="1" eb="2">
      <t>ド</t>
    </rPh>
    <phoneticPr fontId="2"/>
  </si>
  <si>
    <t>カリ</t>
    <phoneticPr fontId="2"/>
  </si>
  <si>
    <t>塩基バランス</t>
    <rPh sb="0" eb="2">
      <t>エンキ</t>
    </rPh>
    <phoneticPr fontId="2"/>
  </si>
  <si>
    <t>Ca/Mg</t>
    <phoneticPr fontId="2"/>
  </si>
  <si>
    <t>Mg/K</t>
    <phoneticPr fontId="2"/>
  </si>
  <si>
    <t>備考</t>
    <rPh sb="0" eb="2">
      <t>ビコウ</t>
    </rPh>
    <phoneticPr fontId="2"/>
  </si>
  <si>
    <t>可給態リン酸
(ﾄﾙｵｸﾞ法)</t>
    <rPh sb="0" eb="1">
      <t>カ</t>
    </rPh>
    <rPh sb="1" eb="2">
      <t>キュウ</t>
    </rPh>
    <rPh sb="2" eb="3">
      <t>タイ</t>
    </rPh>
    <rPh sb="5" eb="6">
      <t>サン</t>
    </rPh>
    <rPh sb="13" eb="14">
      <t>）</t>
    </rPh>
    <phoneticPr fontId="2"/>
  </si>
  <si>
    <t>演算
ｶｳﾝﾀ</t>
    <rPh sb="0" eb="2">
      <t>エンザン</t>
    </rPh>
    <phoneticPr fontId="2"/>
  </si>
  <si>
    <t>作物
ｺｰﾄﾞ</t>
    <rPh sb="0" eb="2">
      <t>サクモツ</t>
    </rPh>
    <phoneticPr fontId="2"/>
  </si>
  <si>
    <t>小麦</t>
    <rPh sb="0" eb="2">
      <t>コムギ</t>
    </rPh>
    <phoneticPr fontId="2"/>
  </si>
  <si>
    <t>大豆</t>
    <rPh sb="0" eb="2">
      <t>ダイズ</t>
    </rPh>
    <phoneticPr fontId="2"/>
  </si>
  <si>
    <t>その他マメ類</t>
    <rPh sb="2" eb="3">
      <t>タ</t>
    </rPh>
    <rPh sb="5" eb="6">
      <t>ルイ</t>
    </rPh>
    <phoneticPr fontId="2"/>
  </si>
  <si>
    <t>そば</t>
    <phoneticPr fontId="2"/>
  </si>
  <si>
    <t>アマランサス</t>
    <phoneticPr fontId="2"/>
  </si>
  <si>
    <t>その他雑穀</t>
    <rPh sb="2" eb="3">
      <t>タ</t>
    </rPh>
    <rPh sb="3" eb="5">
      <t>ザッコク</t>
    </rPh>
    <phoneticPr fontId="2"/>
  </si>
  <si>
    <t>大麦</t>
    <rPh sb="0" eb="2">
      <t>オオムギ</t>
    </rPh>
    <phoneticPr fontId="2"/>
  </si>
  <si>
    <t>畑作</t>
    <rPh sb="0" eb="2">
      <t>ハタサク</t>
    </rPh>
    <phoneticPr fontId="2"/>
  </si>
  <si>
    <t>野菜</t>
    <rPh sb="0" eb="2">
      <t>ヤサイ</t>
    </rPh>
    <phoneticPr fontId="2"/>
  </si>
  <si>
    <t>かんしょ</t>
    <phoneticPr fontId="2"/>
  </si>
  <si>
    <t>ばれいしょ</t>
    <phoneticPr fontId="2"/>
  </si>
  <si>
    <t>葉たばこ</t>
    <rPh sb="0" eb="1">
      <t>ハ</t>
    </rPh>
    <phoneticPr fontId="2"/>
  </si>
  <si>
    <t>ホップ</t>
    <phoneticPr fontId="2"/>
  </si>
  <si>
    <t>工芸・薬用作物</t>
    <rPh sb="0" eb="2">
      <t>コウゲイ</t>
    </rPh>
    <rPh sb="3" eb="5">
      <t>ヤクヨウ</t>
    </rPh>
    <rPh sb="5" eb="7">
      <t>サクモツ</t>
    </rPh>
    <phoneticPr fontId="2"/>
  </si>
  <si>
    <t>きゅうり</t>
    <phoneticPr fontId="2"/>
  </si>
  <si>
    <t>トマト</t>
    <phoneticPr fontId="2"/>
  </si>
  <si>
    <t>ミニトマト</t>
    <phoneticPr fontId="2"/>
  </si>
  <si>
    <t>なす</t>
    <phoneticPr fontId="2"/>
  </si>
  <si>
    <t>ピーマン</t>
    <phoneticPr fontId="2"/>
  </si>
  <si>
    <t>いちご</t>
    <phoneticPr fontId="2"/>
  </si>
  <si>
    <t>すいか</t>
    <phoneticPr fontId="2"/>
  </si>
  <si>
    <t>かぼちゃ</t>
    <phoneticPr fontId="2"/>
  </si>
  <si>
    <t>メロン</t>
    <phoneticPr fontId="2"/>
  </si>
  <si>
    <t>だいこん</t>
    <phoneticPr fontId="2"/>
  </si>
  <si>
    <t>短根にんじん</t>
    <rPh sb="0" eb="1">
      <t>タン</t>
    </rPh>
    <rPh sb="1" eb="2">
      <t>コン</t>
    </rPh>
    <phoneticPr fontId="2"/>
  </si>
  <si>
    <t>ごぼう</t>
    <phoneticPr fontId="2"/>
  </si>
  <si>
    <t>ながいも</t>
    <phoneticPr fontId="2"/>
  </si>
  <si>
    <t>さといも</t>
    <phoneticPr fontId="2"/>
  </si>
  <si>
    <t>たまねぎ</t>
    <phoneticPr fontId="2"/>
  </si>
  <si>
    <t>にんにく</t>
    <phoneticPr fontId="2"/>
  </si>
  <si>
    <t>かぶ</t>
    <phoneticPr fontId="2"/>
  </si>
  <si>
    <t>キャベツ</t>
    <phoneticPr fontId="2"/>
  </si>
  <si>
    <t>ブロッコリー</t>
    <phoneticPr fontId="2"/>
  </si>
  <si>
    <t>はくさい</t>
    <phoneticPr fontId="2"/>
  </si>
  <si>
    <t>レタス</t>
    <phoneticPr fontId="2"/>
  </si>
  <si>
    <t>リーフレタス</t>
    <phoneticPr fontId="2"/>
  </si>
  <si>
    <t>ｸﾞﾘｰﾝｱｽﾊﾟﾗｶﾞｽ</t>
    <phoneticPr fontId="2"/>
  </si>
  <si>
    <t>みつば</t>
    <phoneticPr fontId="2"/>
  </si>
  <si>
    <t>しゅんぎく</t>
    <phoneticPr fontId="2"/>
  </si>
  <si>
    <t>ほうれんそう</t>
    <phoneticPr fontId="2"/>
  </si>
  <si>
    <t>なばな</t>
    <phoneticPr fontId="2"/>
  </si>
  <si>
    <t>ねぎ</t>
    <phoneticPr fontId="2"/>
  </si>
  <si>
    <t>にら</t>
    <phoneticPr fontId="2"/>
  </si>
  <si>
    <t>チンゲンサイ</t>
    <phoneticPr fontId="2"/>
  </si>
  <si>
    <t>冬春どり葉根菜類</t>
    <rPh sb="0" eb="1">
      <t>トウ</t>
    </rPh>
    <rPh sb="1" eb="2">
      <t>シュン</t>
    </rPh>
    <rPh sb="4" eb="5">
      <t>ヨウ</t>
    </rPh>
    <rPh sb="5" eb="8">
      <t>コンサイルイ</t>
    </rPh>
    <phoneticPr fontId="2"/>
  </si>
  <si>
    <t>しどけ</t>
    <phoneticPr fontId="2"/>
  </si>
  <si>
    <t>えだまめ</t>
    <phoneticPr fontId="2"/>
  </si>
  <si>
    <t>スイートコーン</t>
    <phoneticPr fontId="2"/>
  </si>
  <si>
    <t>さやえんどう</t>
    <phoneticPr fontId="2"/>
  </si>
  <si>
    <t>さやいんげん</t>
    <phoneticPr fontId="2"/>
  </si>
  <si>
    <t>カリフラワー</t>
    <phoneticPr fontId="2"/>
  </si>
  <si>
    <t>セロリ</t>
    <phoneticPr fontId="2"/>
  </si>
  <si>
    <t>みつば</t>
    <phoneticPr fontId="2"/>
  </si>
  <si>
    <t>みょうが</t>
    <phoneticPr fontId="2"/>
  </si>
  <si>
    <t>ふき</t>
    <phoneticPr fontId="2"/>
  </si>
  <si>
    <t>うど</t>
    <phoneticPr fontId="2"/>
  </si>
  <si>
    <t>食用ぎく</t>
    <rPh sb="0" eb="2">
      <t>ショクヨウ</t>
    </rPh>
    <phoneticPr fontId="2"/>
  </si>
  <si>
    <t>パセリ</t>
    <phoneticPr fontId="2"/>
  </si>
  <si>
    <t>エシャロット</t>
    <phoneticPr fontId="2"/>
  </si>
  <si>
    <t>その他野菜</t>
    <rPh sb="2" eb="3">
      <t>タ</t>
    </rPh>
    <rPh sb="3" eb="5">
      <t>ヤサイ</t>
    </rPh>
    <phoneticPr fontId="2"/>
  </si>
  <si>
    <t>りんご</t>
    <phoneticPr fontId="2"/>
  </si>
  <si>
    <t>ぶどう</t>
    <phoneticPr fontId="2"/>
  </si>
  <si>
    <t>もも</t>
    <phoneticPr fontId="2"/>
  </si>
  <si>
    <t>おうとう</t>
    <phoneticPr fontId="2"/>
  </si>
  <si>
    <t>ブルーベリー</t>
    <phoneticPr fontId="2"/>
  </si>
  <si>
    <t>その他果樹</t>
    <rPh sb="2" eb="3">
      <t>タ</t>
    </rPh>
    <rPh sb="3" eb="5">
      <t>カジュ</t>
    </rPh>
    <phoneticPr fontId="2"/>
  </si>
  <si>
    <t>りんどう</t>
    <phoneticPr fontId="2"/>
  </si>
  <si>
    <t>きく類</t>
    <rPh sb="2" eb="3">
      <t>ルイ</t>
    </rPh>
    <phoneticPr fontId="2"/>
  </si>
  <si>
    <t>ｵﾘｴﾝﾀﾙゆり</t>
    <phoneticPr fontId="2"/>
  </si>
  <si>
    <t>その他ゆり</t>
    <rPh sb="2" eb="3">
      <t>タ</t>
    </rPh>
    <phoneticPr fontId="2"/>
  </si>
  <si>
    <t>トルコギキョウ</t>
    <phoneticPr fontId="2"/>
  </si>
  <si>
    <t>スターチス類</t>
    <rPh sb="5" eb="6">
      <t>ルイ</t>
    </rPh>
    <phoneticPr fontId="2"/>
  </si>
  <si>
    <t>ｱﾙｽﾄﾛﾒﾘｱ</t>
    <phoneticPr fontId="2"/>
  </si>
  <si>
    <t>カーネーション</t>
    <phoneticPr fontId="2"/>
  </si>
  <si>
    <t>ばら</t>
    <phoneticPr fontId="2"/>
  </si>
  <si>
    <t>アスター</t>
    <phoneticPr fontId="2"/>
  </si>
  <si>
    <t>アネモネ</t>
    <phoneticPr fontId="2"/>
  </si>
  <si>
    <t>カラー</t>
    <phoneticPr fontId="2"/>
  </si>
  <si>
    <t>グラジオラス</t>
    <phoneticPr fontId="2"/>
  </si>
  <si>
    <t>ストック</t>
    <phoneticPr fontId="2"/>
  </si>
  <si>
    <t>宿根かすみそう</t>
    <rPh sb="0" eb="2">
      <t>シュッコン</t>
    </rPh>
    <phoneticPr fontId="2"/>
  </si>
  <si>
    <t>チューリップ</t>
    <phoneticPr fontId="2"/>
  </si>
  <si>
    <t>デルフィニウム</t>
    <phoneticPr fontId="2"/>
  </si>
  <si>
    <t>フリージア</t>
    <phoneticPr fontId="2"/>
  </si>
  <si>
    <t>ラークスパー</t>
    <phoneticPr fontId="2"/>
  </si>
  <si>
    <t>混播牧草</t>
    <rPh sb="0" eb="1">
      <t>マ</t>
    </rPh>
    <rPh sb="1" eb="2">
      <t>マ</t>
    </rPh>
    <rPh sb="2" eb="4">
      <t>ボクソウ</t>
    </rPh>
    <phoneticPr fontId="2"/>
  </si>
  <si>
    <t>デントコーン</t>
    <phoneticPr fontId="2"/>
  </si>
  <si>
    <t>果樹</t>
    <rPh sb="0" eb="2">
      <t>カジュ</t>
    </rPh>
    <phoneticPr fontId="2"/>
  </si>
  <si>
    <t>花き</t>
    <rPh sb="0" eb="1">
      <t>カ</t>
    </rPh>
    <phoneticPr fontId="2"/>
  </si>
  <si>
    <t>ｶﾃｺﾞﾘ</t>
    <phoneticPr fontId="2"/>
  </si>
  <si>
    <t>品目</t>
    <rPh sb="0" eb="2">
      <t>ヒンモク</t>
    </rPh>
    <phoneticPr fontId="2"/>
  </si>
  <si>
    <t>品種</t>
    <rPh sb="0" eb="2">
      <t>ヒンシュ</t>
    </rPh>
    <phoneticPr fontId="2"/>
  </si>
  <si>
    <t>茎葉処理</t>
    <rPh sb="0" eb="1">
      <t>ケイ</t>
    </rPh>
    <rPh sb="1" eb="2">
      <t>ヨウ</t>
    </rPh>
    <rPh sb="2" eb="4">
      <t>ショリ</t>
    </rPh>
    <phoneticPr fontId="2"/>
  </si>
  <si>
    <t>補給型施肥基準(kg/10a)</t>
    <rPh sb="0" eb="2">
      <t>ホキュウ</t>
    </rPh>
    <rPh sb="2" eb="3">
      <t>ガタ</t>
    </rPh>
    <rPh sb="3" eb="5">
      <t>セヒ</t>
    </rPh>
    <rPh sb="5" eb="7">
      <t>キジュン</t>
    </rPh>
    <phoneticPr fontId="2"/>
  </si>
  <si>
    <t>窒素</t>
    <rPh sb="0" eb="2">
      <t>チッソ</t>
    </rPh>
    <phoneticPr fontId="2"/>
  </si>
  <si>
    <t>基肥</t>
    <rPh sb="0" eb="1">
      <t>キ</t>
    </rPh>
    <rPh sb="1" eb="2">
      <t>ヒ</t>
    </rPh>
    <phoneticPr fontId="2"/>
  </si>
  <si>
    <t>追肥</t>
    <rPh sb="0" eb="2">
      <t>ツイヒ</t>
    </rPh>
    <phoneticPr fontId="2"/>
  </si>
  <si>
    <t>合計</t>
    <rPh sb="0" eb="2">
      <t>ゴウケイ</t>
    </rPh>
    <phoneticPr fontId="2"/>
  </si>
  <si>
    <t>リン酸</t>
    <rPh sb="2" eb="3">
      <t>サン</t>
    </rPh>
    <phoneticPr fontId="2"/>
  </si>
  <si>
    <t>残稈鋤き込み</t>
    <rPh sb="0" eb="1">
      <t>ザン</t>
    </rPh>
    <rPh sb="1" eb="2">
      <t>カン</t>
    </rPh>
    <rPh sb="2" eb="3">
      <t>ス</t>
    </rPh>
    <rPh sb="4" eb="5">
      <t>コ</t>
    </rPh>
    <phoneticPr fontId="2"/>
  </si>
  <si>
    <t>2～4</t>
    <phoneticPr fontId="2"/>
  </si>
  <si>
    <t>1.4～2.8</t>
    <phoneticPr fontId="2"/>
  </si>
  <si>
    <t>小豆</t>
    <rPh sb="0" eb="2">
      <t>アズキ</t>
    </rPh>
    <phoneticPr fontId="2"/>
  </si>
  <si>
    <t>アマランサス</t>
    <phoneticPr fontId="2"/>
  </si>
  <si>
    <t>茎葉持ち出し</t>
    <rPh sb="0" eb="1">
      <t>ケイ</t>
    </rPh>
    <rPh sb="1" eb="2">
      <t>ヨウ</t>
    </rPh>
    <rPh sb="2" eb="3">
      <t>モ</t>
    </rPh>
    <rPh sb="4" eb="5">
      <t>ダ</t>
    </rPh>
    <phoneticPr fontId="2"/>
  </si>
  <si>
    <t>茎葉一部鋤き込み</t>
    <rPh sb="0" eb="1">
      <t>ケイ</t>
    </rPh>
    <rPh sb="1" eb="2">
      <t>ヨウ</t>
    </rPh>
    <rPh sb="2" eb="4">
      <t>イチブ</t>
    </rPh>
    <rPh sb="4" eb="5">
      <t>ス</t>
    </rPh>
    <rPh sb="6" eb="7">
      <t>コ</t>
    </rPh>
    <phoneticPr fontId="2"/>
  </si>
  <si>
    <t>3～5</t>
    <phoneticPr fontId="2"/>
  </si>
  <si>
    <t>-</t>
    <phoneticPr fontId="2"/>
  </si>
  <si>
    <t>堆肥2t/10a</t>
    <rPh sb="0" eb="2">
      <t>タイヒ</t>
    </rPh>
    <phoneticPr fontId="2"/>
  </si>
  <si>
    <t>ハトムギ</t>
    <phoneticPr fontId="2"/>
  </si>
  <si>
    <t>茎葉鋤き込み</t>
    <rPh sb="0" eb="1">
      <t>ケイ</t>
    </rPh>
    <rPh sb="1" eb="2">
      <t>ヨウ</t>
    </rPh>
    <rPh sb="2" eb="3">
      <t>ス</t>
    </rPh>
    <rPh sb="4" eb="5">
      <t>コ</t>
    </rPh>
    <phoneticPr fontId="2"/>
  </si>
  <si>
    <t>地域水稲並</t>
    <rPh sb="0" eb="2">
      <t>チイキ</t>
    </rPh>
    <rPh sb="2" eb="4">
      <t>スイトウ</t>
    </rPh>
    <rPh sb="4" eb="5">
      <t>ナミ</t>
    </rPh>
    <phoneticPr fontId="2"/>
  </si>
  <si>
    <t>11程度</t>
    <rPh sb="2" eb="4">
      <t>テイド</t>
    </rPh>
    <phoneticPr fontId="2"/>
  </si>
  <si>
    <t>ヒエ</t>
    <phoneticPr fontId="2"/>
  </si>
  <si>
    <t>3～4</t>
    <phoneticPr fontId="2"/>
  </si>
  <si>
    <t>1～2</t>
    <phoneticPr fontId="2"/>
  </si>
  <si>
    <t>4～6</t>
    <phoneticPr fontId="2"/>
  </si>
  <si>
    <t>アワ</t>
    <phoneticPr fontId="2"/>
  </si>
  <si>
    <t>3～4</t>
    <phoneticPr fontId="2"/>
  </si>
  <si>
    <t>1～2</t>
    <phoneticPr fontId="2"/>
  </si>
  <si>
    <t>4～6</t>
    <phoneticPr fontId="2"/>
  </si>
  <si>
    <t>キビ</t>
    <phoneticPr fontId="2"/>
  </si>
  <si>
    <t>きゅうり</t>
    <phoneticPr fontId="2"/>
  </si>
  <si>
    <t>きゅうり</t>
    <phoneticPr fontId="2"/>
  </si>
  <si>
    <t>トマト</t>
    <phoneticPr fontId="2"/>
  </si>
  <si>
    <t>トマト</t>
    <phoneticPr fontId="2"/>
  </si>
  <si>
    <t>ミニトマト</t>
    <phoneticPr fontId="2"/>
  </si>
  <si>
    <t>ピーマン</t>
    <phoneticPr fontId="2"/>
  </si>
  <si>
    <t>ピーマン</t>
    <phoneticPr fontId="2"/>
  </si>
  <si>
    <t>いちご</t>
    <phoneticPr fontId="2"/>
  </si>
  <si>
    <t>いちご</t>
    <phoneticPr fontId="2"/>
  </si>
  <si>
    <t>なす</t>
    <phoneticPr fontId="2"/>
  </si>
  <si>
    <t>すいか</t>
    <phoneticPr fontId="2"/>
  </si>
  <si>
    <t>メロン</t>
    <phoneticPr fontId="2"/>
  </si>
  <si>
    <t>メロン</t>
    <phoneticPr fontId="2"/>
  </si>
  <si>
    <t>茎葉一部持ち出し</t>
    <rPh sb="0" eb="1">
      <t>ケイ</t>
    </rPh>
    <rPh sb="1" eb="2">
      <t>ヨウ</t>
    </rPh>
    <rPh sb="2" eb="4">
      <t>イチブ</t>
    </rPh>
    <rPh sb="4" eb="5">
      <t>モ</t>
    </rPh>
    <rPh sb="6" eb="7">
      <t>ダ</t>
    </rPh>
    <phoneticPr fontId="2"/>
  </si>
  <si>
    <t>ごぼう</t>
    <phoneticPr fontId="2"/>
  </si>
  <si>
    <t>ながいも</t>
    <phoneticPr fontId="2"/>
  </si>
  <si>
    <t>さといも</t>
    <phoneticPr fontId="2"/>
  </si>
  <si>
    <t>ばれいしょ</t>
    <phoneticPr fontId="2"/>
  </si>
  <si>
    <t>にんにく</t>
    <phoneticPr fontId="2"/>
  </si>
  <si>
    <t>たまねぎ</t>
    <phoneticPr fontId="2"/>
  </si>
  <si>
    <t>キャベツ</t>
    <phoneticPr fontId="2"/>
  </si>
  <si>
    <t>外葉鋤き込み</t>
    <rPh sb="0" eb="1">
      <t>ガイ</t>
    </rPh>
    <rPh sb="1" eb="2">
      <t>ヨウ</t>
    </rPh>
    <rPh sb="2" eb="3">
      <t>ス</t>
    </rPh>
    <rPh sb="4" eb="5">
      <t>コ</t>
    </rPh>
    <phoneticPr fontId="2"/>
  </si>
  <si>
    <t>はくさい</t>
    <phoneticPr fontId="2"/>
  </si>
  <si>
    <t>レタス</t>
    <phoneticPr fontId="2"/>
  </si>
  <si>
    <t>レタス</t>
    <phoneticPr fontId="2"/>
  </si>
  <si>
    <t>非結球レタス</t>
    <rPh sb="0" eb="1">
      <t>ヒ</t>
    </rPh>
    <rPh sb="1" eb="3">
      <t>ケッキュウ</t>
    </rPh>
    <phoneticPr fontId="2"/>
  </si>
  <si>
    <t>ｸﾞﾘｰﾝｱｽﾊﾟﾗｶﾞｽ</t>
    <phoneticPr fontId="2"/>
  </si>
  <si>
    <t>ほうれんそう</t>
    <phoneticPr fontId="2"/>
  </si>
  <si>
    <t>ブロッコリー</t>
    <phoneticPr fontId="2"/>
  </si>
  <si>
    <t>カリフラワー</t>
    <phoneticPr fontId="2"/>
  </si>
  <si>
    <t>みつば</t>
    <phoneticPr fontId="2"/>
  </si>
  <si>
    <t>掘り取り</t>
    <rPh sb="0" eb="1">
      <t>ホ</t>
    </rPh>
    <rPh sb="2" eb="3">
      <t>ト</t>
    </rPh>
    <phoneticPr fontId="2"/>
  </si>
  <si>
    <t>刈り取り</t>
    <rPh sb="0" eb="1">
      <t>カ</t>
    </rPh>
    <rPh sb="2" eb="3">
      <t>ト</t>
    </rPh>
    <phoneticPr fontId="2"/>
  </si>
  <si>
    <t>にら</t>
    <phoneticPr fontId="2"/>
  </si>
  <si>
    <t>株養成</t>
    <rPh sb="0" eb="1">
      <t>カブ</t>
    </rPh>
    <rPh sb="1" eb="3">
      <t>ヨウセイ</t>
    </rPh>
    <phoneticPr fontId="2"/>
  </si>
  <si>
    <t>にら</t>
    <phoneticPr fontId="2"/>
  </si>
  <si>
    <t>刈り捨て</t>
    <rPh sb="0" eb="1">
      <t>カ</t>
    </rPh>
    <rPh sb="2" eb="3">
      <t>ス</t>
    </rPh>
    <phoneticPr fontId="2"/>
  </si>
  <si>
    <t>ねぎ</t>
    <phoneticPr fontId="2"/>
  </si>
  <si>
    <t>みょうが</t>
    <phoneticPr fontId="2"/>
  </si>
  <si>
    <t>-</t>
    <phoneticPr fontId="2"/>
  </si>
  <si>
    <t>みょうが</t>
    <phoneticPr fontId="2"/>
  </si>
  <si>
    <t>さやいんげん</t>
    <phoneticPr fontId="2"/>
  </si>
  <si>
    <t>さやいんげん</t>
    <phoneticPr fontId="2"/>
  </si>
  <si>
    <t>-</t>
    <phoneticPr fontId="2"/>
  </si>
  <si>
    <t>さやえんどう</t>
    <phoneticPr fontId="2"/>
  </si>
  <si>
    <t>うど</t>
    <phoneticPr fontId="2"/>
  </si>
  <si>
    <t>-</t>
    <phoneticPr fontId="2"/>
  </si>
  <si>
    <t>もみじがさ</t>
    <phoneticPr fontId="2"/>
  </si>
  <si>
    <t>かぼちゃ</t>
    <phoneticPr fontId="2"/>
  </si>
  <si>
    <t>なばな</t>
    <phoneticPr fontId="2"/>
  </si>
  <si>
    <t>残株鋤き込み</t>
    <rPh sb="0" eb="1">
      <t>ザン</t>
    </rPh>
    <rPh sb="1" eb="2">
      <t>カブ</t>
    </rPh>
    <rPh sb="2" eb="3">
      <t>ス</t>
    </rPh>
    <rPh sb="4" eb="5">
      <t>コ</t>
    </rPh>
    <phoneticPr fontId="2"/>
  </si>
  <si>
    <t>みずな</t>
    <phoneticPr fontId="2"/>
  </si>
  <si>
    <t>みずな</t>
    <phoneticPr fontId="2"/>
  </si>
  <si>
    <t>みずな</t>
    <phoneticPr fontId="2"/>
  </si>
  <si>
    <t>みずな</t>
    <phoneticPr fontId="2"/>
  </si>
  <si>
    <t>わさび</t>
    <phoneticPr fontId="2"/>
  </si>
  <si>
    <t>-</t>
    <phoneticPr fontId="2"/>
  </si>
  <si>
    <t>わさび</t>
    <phoneticPr fontId="2"/>
  </si>
  <si>
    <t>収穫</t>
    <rPh sb="0" eb="2">
      <t>シュウカク</t>
    </rPh>
    <phoneticPr fontId="2"/>
  </si>
  <si>
    <t>うるい</t>
    <phoneticPr fontId="2"/>
  </si>
  <si>
    <t>うるい</t>
    <phoneticPr fontId="2"/>
  </si>
  <si>
    <t>補給型施肥基準（速効性肥料・標準施肥体系）</t>
    <rPh sb="0" eb="2">
      <t>ホキュウ</t>
    </rPh>
    <rPh sb="2" eb="3">
      <t>ガタ</t>
    </rPh>
    <rPh sb="3" eb="5">
      <t>セヒ</t>
    </rPh>
    <rPh sb="5" eb="7">
      <t>キジュン</t>
    </rPh>
    <rPh sb="8" eb="11">
      <t>ソッコウセイ</t>
    </rPh>
    <rPh sb="11" eb="13">
      <t>ヒリョウ</t>
    </rPh>
    <rPh sb="14" eb="16">
      <t>ヒョウジュン</t>
    </rPh>
    <rPh sb="16" eb="18">
      <t>セヒ</t>
    </rPh>
    <rPh sb="18" eb="20">
      <t>タイケイ</t>
    </rPh>
    <phoneticPr fontId="2"/>
  </si>
  <si>
    <t>りんどう</t>
    <phoneticPr fontId="2"/>
  </si>
  <si>
    <t>きく</t>
    <phoneticPr fontId="2"/>
  </si>
  <si>
    <t>きく</t>
    <phoneticPr fontId="2"/>
  </si>
  <si>
    <t>ゆり</t>
    <phoneticPr fontId="2"/>
  </si>
  <si>
    <t>ゆり</t>
    <phoneticPr fontId="2"/>
  </si>
  <si>
    <t>ストック</t>
    <phoneticPr fontId="2"/>
  </si>
  <si>
    <t>カーネーション</t>
    <phoneticPr fontId="2"/>
  </si>
  <si>
    <t>残茎持ち出し</t>
    <rPh sb="0" eb="1">
      <t>ザン</t>
    </rPh>
    <rPh sb="1" eb="2">
      <t>ケイ</t>
    </rPh>
    <rPh sb="2" eb="3">
      <t>モ</t>
    </rPh>
    <rPh sb="4" eb="5">
      <t>ダ</t>
    </rPh>
    <phoneticPr fontId="2"/>
  </si>
  <si>
    <t>グラジオラス</t>
    <phoneticPr fontId="2"/>
  </si>
  <si>
    <t>宿根かすみそう</t>
    <rPh sb="0" eb="2">
      <t>シュクコン</t>
    </rPh>
    <phoneticPr fontId="2"/>
  </si>
  <si>
    <t>デルフィニウム</t>
    <phoneticPr fontId="2"/>
  </si>
  <si>
    <t>りんご</t>
    <phoneticPr fontId="2"/>
  </si>
  <si>
    <t>無袋ふじ、つがる、ふじ、その他</t>
    <rPh sb="0" eb="1">
      <t>ム</t>
    </rPh>
    <rPh sb="1" eb="2">
      <t>タイ</t>
    </rPh>
    <rPh sb="14" eb="15">
      <t>タ</t>
    </rPh>
    <phoneticPr fontId="2"/>
  </si>
  <si>
    <t>さんさ、きおう、つがる、黄香、ｼﾞｮﾅｺﾞｰﾙﾄﾞ、王林、ｼﾅﾉｺﾞｰﾙﾄﾞ、ふじ</t>
    <rPh sb="12" eb="13">
      <t>オウ</t>
    </rPh>
    <rPh sb="13" eb="14">
      <t>カ</t>
    </rPh>
    <rPh sb="26" eb="27">
      <t>オウ</t>
    </rPh>
    <rPh sb="27" eb="28">
      <t>リン</t>
    </rPh>
    <phoneticPr fontId="2"/>
  </si>
  <si>
    <t>ぶどう</t>
    <phoneticPr fontId="2"/>
  </si>
  <si>
    <t>西洋なし</t>
    <rPh sb="0" eb="2">
      <t>セイヨウ</t>
    </rPh>
    <phoneticPr fontId="2"/>
  </si>
  <si>
    <t>ラ・フランス、バートレット</t>
    <phoneticPr fontId="2"/>
  </si>
  <si>
    <t>うめ</t>
    <phoneticPr fontId="2"/>
  </si>
  <si>
    <t>もも</t>
    <phoneticPr fontId="2"/>
  </si>
  <si>
    <t>おうとう</t>
    <phoneticPr fontId="2"/>
  </si>
  <si>
    <t>2～3</t>
    <phoneticPr fontId="2"/>
  </si>
  <si>
    <t>6～9</t>
    <phoneticPr fontId="2"/>
  </si>
  <si>
    <t>8～10</t>
    <phoneticPr fontId="2"/>
  </si>
  <si>
    <t>4～5</t>
    <phoneticPr fontId="2"/>
  </si>
  <si>
    <t>12～15</t>
    <phoneticPr fontId="2"/>
  </si>
  <si>
    <t>6～8</t>
    <phoneticPr fontId="2"/>
  </si>
  <si>
    <t>7～8</t>
    <phoneticPr fontId="2"/>
  </si>
  <si>
    <t>10～11</t>
    <phoneticPr fontId="2"/>
  </si>
  <si>
    <t>14～16</t>
    <phoneticPr fontId="2"/>
  </si>
  <si>
    <t>わら鋤き込み</t>
    <rPh sb="2" eb="3">
      <t>ス</t>
    </rPh>
    <rPh sb="4" eb="5">
      <t>コ</t>
    </rPh>
    <phoneticPr fontId="2"/>
  </si>
  <si>
    <t>0～2(融雪) + 2(減分)</t>
    <rPh sb="4" eb="6">
      <t>ユウセツ</t>
    </rPh>
    <rPh sb="12" eb="13">
      <t>ゲン</t>
    </rPh>
    <rPh sb="13" eb="14">
      <t>ブン</t>
    </rPh>
    <phoneticPr fontId="2"/>
  </si>
  <si>
    <t>2(融雪)</t>
    <rPh sb="2" eb="4">
      <t>ユウセツ</t>
    </rPh>
    <phoneticPr fontId="2"/>
  </si>
  <si>
    <t>2(減分)</t>
    <rPh sb="2" eb="3">
      <t>ゲン</t>
    </rPh>
    <rPh sb="3" eb="4">
      <t>ブン</t>
    </rPh>
    <phoneticPr fontId="2"/>
  </si>
  <si>
    <t>0～2(融雪) + 2～4(穂揃)</t>
    <rPh sb="4" eb="6">
      <t>ユウセツ</t>
    </rPh>
    <rPh sb="14" eb="15">
      <t>ホ</t>
    </rPh>
    <rPh sb="15" eb="16">
      <t>ゾロ</t>
    </rPh>
    <phoneticPr fontId="2"/>
  </si>
  <si>
    <t>0～2(減分)</t>
    <rPh sb="4" eb="5">
      <t>ゲン</t>
    </rPh>
    <rPh sb="5" eb="6">
      <t>ブン</t>
    </rPh>
    <phoneticPr fontId="2"/>
  </si>
  <si>
    <t>7～10</t>
    <phoneticPr fontId="2"/>
  </si>
  <si>
    <t>4～8</t>
    <phoneticPr fontId="2"/>
  </si>
  <si>
    <t>従来の施肥基準（速効性肥料・標準施肥体系）</t>
    <rPh sb="0" eb="2">
      <t>ジュウライ</t>
    </rPh>
    <rPh sb="3" eb="5">
      <t>セヒ</t>
    </rPh>
    <rPh sb="5" eb="7">
      <t>キジュン</t>
    </rPh>
    <rPh sb="8" eb="11">
      <t>ソッコウセイ</t>
    </rPh>
    <rPh sb="11" eb="13">
      <t>ヒリョウ</t>
    </rPh>
    <rPh sb="14" eb="16">
      <t>ヒョウジュン</t>
    </rPh>
    <rPh sb="16" eb="18">
      <t>セヒ</t>
    </rPh>
    <rPh sb="18" eb="20">
      <t>タイケイ</t>
    </rPh>
    <phoneticPr fontId="2"/>
  </si>
  <si>
    <t>10～15</t>
    <phoneticPr fontId="2"/>
  </si>
  <si>
    <t>10～20</t>
    <phoneticPr fontId="2"/>
  </si>
  <si>
    <t>10～12</t>
    <phoneticPr fontId="2"/>
  </si>
  <si>
    <t>牛ふん堆肥　1.5～2t/10a</t>
    <rPh sb="0" eb="1">
      <t>ギュウ</t>
    </rPh>
    <rPh sb="3" eb="5">
      <t>タイヒ</t>
    </rPh>
    <phoneticPr fontId="2"/>
  </si>
  <si>
    <t>15+15</t>
    <phoneticPr fontId="2"/>
  </si>
  <si>
    <t>牛ふん堆肥　4t/10a</t>
    <rPh sb="0" eb="1">
      <t>ギュウ</t>
    </rPh>
    <rPh sb="3" eb="5">
      <t>タイヒ</t>
    </rPh>
    <phoneticPr fontId="2"/>
  </si>
  <si>
    <t>12+18</t>
    <phoneticPr fontId="2"/>
  </si>
  <si>
    <t>15+12</t>
    <phoneticPr fontId="2"/>
  </si>
  <si>
    <t>13+6</t>
    <phoneticPr fontId="2"/>
  </si>
  <si>
    <t>11+6</t>
    <phoneticPr fontId="2"/>
  </si>
  <si>
    <t>10+5</t>
    <phoneticPr fontId="2"/>
  </si>
  <si>
    <t>15+8</t>
    <phoneticPr fontId="2"/>
  </si>
  <si>
    <t>15+3</t>
    <phoneticPr fontId="2"/>
  </si>
  <si>
    <t>7+15</t>
    <phoneticPr fontId="2"/>
  </si>
  <si>
    <t>16+6</t>
    <phoneticPr fontId="2"/>
  </si>
  <si>
    <t>15+10</t>
    <phoneticPr fontId="2"/>
  </si>
  <si>
    <t>10+6</t>
    <phoneticPr fontId="2"/>
  </si>
  <si>
    <t>10+6</t>
    <phoneticPr fontId="2"/>
  </si>
  <si>
    <t>12+6</t>
    <phoneticPr fontId="2"/>
  </si>
  <si>
    <t>18+3</t>
    <phoneticPr fontId="2"/>
  </si>
  <si>
    <t>18+7</t>
    <phoneticPr fontId="2"/>
  </si>
  <si>
    <t>10+17</t>
    <phoneticPr fontId="2"/>
  </si>
  <si>
    <t>8+15</t>
    <phoneticPr fontId="2"/>
  </si>
  <si>
    <t>10+10</t>
    <phoneticPr fontId="2"/>
  </si>
  <si>
    <t>12+3</t>
    <phoneticPr fontId="2"/>
  </si>
  <si>
    <t>12+10</t>
    <phoneticPr fontId="2"/>
  </si>
  <si>
    <t>6+10</t>
    <phoneticPr fontId="2"/>
  </si>
  <si>
    <t>15+5</t>
    <phoneticPr fontId="2"/>
  </si>
  <si>
    <t>7+8</t>
    <phoneticPr fontId="2"/>
  </si>
  <si>
    <t>5+8</t>
    <phoneticPr fontId="2"/>
  </si>
  <si>
    <t>10+4</t>
    <phoneticPr fontId="2"/>
  </si>
  <si>
    <t>12+8</t>
    <phoneticPr fontId="2"/>
  </si>
  <si>
    <t>14+6</t>
    <phoneticPr fontId="2"/>
  </si>
  <si>
    <t>10+2</t>
    <phoneticPr fontId="2"/>
  </si>
  <si>
    <t>20+10</t>
    <phoneticPr fontId="2"/>
  </si>
  <si>
    <t>6+2</t>
    <phoneticPr fontId="2"/>
  </si>
  <si>
    <t>15+2</t>
    <phoneticPr fontId="2"/>
  </si>
  <si>
    <t>20+15</t>
    <phoneticPr fontId="2"/>
  </si>
  <si>
    <t>20+32</t>
    <phoneticPr fontId="2"/>
  </si>
  <si>
    <t>6+3</t>
    <phoneticPr fontId="2"/>
  </si>
  <si>
    <t>1～2</t>
    <phoneticPr fontId="2"/>
  </si>
  <si>
    <t>2～5</t>
    <phoneticPr fontId="2"/>
  </si>
  <si>
    <t>2～5</t>
    <phoneticPr fontId="2"/>
  </si>
  <si>
    <t>5～10</t>
    <phoneticPr fontId="2"/>
  </si>
  <si>
    <t>10～13</t>
    <phoneticPr fontId="2"/>
  </si>
  <si>
    <t>13～18</t>
    <phoneticPr fontId="2"/>
  </si>
  <si>
    <t>1～4</t>
    <phoneticPr fontId="2"/>
  </si>
  <si>
    <t>3～6</t>
    <phoneticPr fontId="2"/>
  </si>
  <si>
    <t>5～6</t>
    <phoneticPr fontId="2"/>
  </si>
  <si>
    <t>9～10</t>
    <phoneticPr fontId="2"/>
  </si>
  <si>
    <t>11～12</t>
    <phoneticPr fontId="2"/>
  </si>
  <si>
    <t>6～7</t>
    <phoneticPr fontId="2"/>
  </si>
  <si>
    <t>9～10</t>
    <phoneticPr fontId="2"/>
  </si>
  <si>
    <t>11～12</t>
    <phoneticPr fontId="2"/>
  </si>
  <si>
    <t>11～12</t>
    <phoneticPr fontId="2"/>
  </si>
  <si>
    <t>堆肥(t/10a)</t>
    <rPh sb="0" eb="2">
      <t>タイヒ</t>
    </rPh>
    <phoneticPr fontId="2"/>
  </si>
  <si>
    <t>1.5～2</t>
  </si>
  <si>
    <t>土壌タイプ</t>
    <rPh sb="0" eb="2">
      <t>ドジョウ</t>
    </rPh>
    <phoneticPr fontId="2"/>
  </si>
  <si>
    <t>品種・作型</t>
    <rPh sb="0" eb="2">
      <t>ヒンシュ</t>
    </rPh>
    <rPh sb="3" eb="4">
      <t>サク</t>
    </rPh>
    <rPh sb="4" eb="5">
      <t>ガタ</t>
    </rPh>
    <phoneticPr fontId="2"/>
  </si>
  <si>
    <t>交換性石灰</t>
    <rPh sb="0" eb="3">
      <t>コウカンセイ</t>
    </rPh>
    <rPh sb="3" eb="5">
      <t>セッカイ</t>
    </rPh>
    <phoneticPr fontId="2"/>
  </si>
  <si>
    <t>交換性苦土</t>
    <rPh sb="0" eb="3">
      <t>コウカンセイ</t>
    </rPh>
    <rPh sb="3" eb="4">
      <t>ク</t>
    </rPh>
    <rPh sb="4" eb="5">
      <t>ド</t>
    </rPh>
    <phoneticPr fontId="2"/>
  </si>
  <si>
    <t>交換性カリ</t>
    <rPh sb="0" eb="3">
      <t>コウカンセイ</t>
    </rPh>
    <phoneticPr fontId="2"/>
  </si>
  <si>
    <t>可給態リン酸</t>
    <rPh sb="0" eb="3">
      <t>カキュウタイ</t>
    </rPh>
    <rPh sb="5" eb="6">
      <t>サン</t>
    </rPh>
    <phoneticPr fontId="2"/>
  </si>
  <si>
    <t>硝酸態窒素</t>
    <rPh sb="0" eb="3">
      <t>ショウサンタイ</t>
    </rPh>
    <rPh sb="3" eb="5">
      <t>チッソ</t>
    </rPh>
    <phoneticPr fontId="2"/>
  </si>
  <si>
    <t>圃場番号</t>
    <rPh sb="0" eb="1">
      <t>ホ</t>
    </rPh>
    <rPh sb="1" eb="2">
      <t>ジョウ</t>
    </rPh>
    <rPh sb="2" eb="4">
      <t>バンゴウ</t>
    </rPh>
    <phoneticPr fontId="2"/>
  </si>
  <si>
    <t>選択肢欄</t>
    <rPh sb="0" eb="3">
      <t>センタクシ</t>
    </rPh>
    <rPh sb="3" eb="4">
      <t>ラン</t>
    </rPh>
    <phoneticPr fontId="2"/>
  </si>
  <si>
    <t>設定しない</t>
    <rPh sb="0" eb="2">
      <t>セッテイ</t>
    </rPh>
    <phoneticPr fontId="2"/>
  </si>
  <si>
    <t>黒ボク土</t>
    <rPh sb="0" eb="1">
      <t>クロ</t>
    </rPh>
    <rPh sb="3" eb="4">
      <t>ド</t>
    </rPh>
    <phoneticPr fontId="2"/>
  </si>
  <si>
    <t>非黒ボク土</t>
    <rPh sb="0" eb="1">
      <t>ヒ</t>
    </rPh>
    <rPh sb="1" eb="2">
      <t>クロ</t>
    </rPh>
    <rPh sb="4" eb="5">
      <t>ド</t>
    </rPh>
    <phoneticPr fontId="2"/>
  </si>
  <si>
    <t>カテゴリ</t>
    <phoneticPr fontId="2"/>
  </si>
  <si>
    <t>花き</t>
    <rPh sb="0" eb="1">
      <t>ハナ</t>
    </rPh>
    <phoneticPr fontId="2"/>
  </si>
  <si>
    <t>作物名代入列</t>
    <rPh sb="0" eb="2">
      <t>サクモツ</t>
    </rPh>
    <rPh sb="2" eb="3">
      <t>メイ</t>
    </rPh>
    <rPh sb="3" eb="5">
      <t>ダイニュウ</t>
    </rPh>
    <rPh sb="5" eb="6">
      <t>レツ</t>
    </rPh>
    <phoneticPr fontId="2"/>
  </si>
  <si>
    <t>作型代入列</t>
    <rPh sb="0" eb="1">
      <t>サク</t>
    </rPh>
    <rPh sb="1" eb="2">
      <t>ガタ</t>
    </rPh>
    <rPh sb="2" eb="4">
      <t>ダイニュウ</t>
    </rPh>
    <rPh sb="4" eb="5">
      <t>レツ</t>
    </rPh>
    <phoneticPr fontId="2"/>
  </si>
  <si>
    <t>作型用検索カウンタ</t>
    <rPh sb="0" eb="1">
      <t>サク</t>
    </rPh>
    <rPh sb="1" eb="2">
      <t>ガタ</t>
    </rPh>
    <rPh sb="2" eb="3">
      <t>ヨウ</t>
    </rPh>
    <rPh sb="3" eb="5">
      <t>ケンサク</t>
    </rPh>
    <phoneticPr fontId="2"/>
  </si>
  <si>
    <t>作型名</t>
    <rPh sb="0" eb="1">
      <t>サク</t>
    </rPh>
    <rPh sb="1" eb="2">
      <t>ガタ</t>
    </rPh>
    <rPh sb="2" eb="3">
      <t>メイ</t>
    </rPh>
    <phoneticPr fontId="2"/>
  </si>
  <si>
    <t>カテゴリカウンタ</t>
    <phoneticPr fontId="2"/>
  </si>
  <si>
    <t>×</t>
    <phoneticPr fontId="2"/>
  </si>
  <si>
    <t>×</t>
    <phoneticPr fontId="2"/>
  </si>
  <si>
    <t>演算シート</t>
    <rPh sb="0" eb="2">
      <t>エンザン</t>
    </rPh>
    <phoneticPr fontId="2"/>
  </si>
  <si>
    <t>土壌カウンタ</t>
    <rPh sb="0" eb="2">
      <t>ドジョウ</t>
    </rPh>
    <phoneticPr fontId="2"/>
  </si>
  <si>
    <t>選択カテゴリ</t>
    <rPh sb="0" eb="2">
      <t>センタク</t>
    </rPh>
    <phoneticPr fontId="2"/>
  </si>
  <si>
    <t>選択作物名</t>
    <rPh sb="0" eb="2">
      <t>センタク</t>
    </rPh>
    <rPh sb="2" eb="4">
      <t>サクモツ</t>
    </rPh>
    <rPh sb="4" eb="5">
      <t>メイ</t>
    </rPh>
    <phoneticPr fontId="2"/>
  </si>
  <si>
    <t>選択作型</t>
    <rPh sb="0" eb="2">
      <t>センタク</t>
    </rPh>
    <rPh sb="2" eb="3">
      <t>サク</t>
    </rPh>
    <rPh sb="3" eb="4">
      <t>ガタ</t>
    </rPh>
    <phoneticPr fontId="2"/>
  </si>
  <si>
    <t>カテゴリカウンタ</t>
    <phoneticPr fontId="2"/>
  </si>
  <si>
    <t>作物カウンタ</t>
    <rPh sb="0" eb="2">
      <t>サクモツ</t>
    </rPh>
    <phoneticPr fontId="2"/>
  </si>
  <si>
    <t>作型カウンタ</t>
    <rPh sb="0" eb="1">
      <t>サク</t>
    </rPh>
    <rPh sb="1" eb="2">
      <t>ガタ</t>
    </rPh>
    <phoneticPr fontId="2"/>
  </si>
  <si>
    <t>作型準備１</t>
    <rPh sb="0" eb="1">
      <t>サク</t>
    </rPh>
    <rPh sb="1" eb="2">
      <t>ガタ</t>
    </rPh>
    <rPh sb="2" eb="4">
      <t>ジュンビ</t>
    </rPh>
    <phoneticPr fontId="2"/>
  </si>
  <si>
    <t>作型準備２</t>
    <rPh sb="0" eb="1">
      <t>サク</t>
    </rPh>
    <rPh sb="1" eb="2">
      <t>ガタ</t>
    </rPh>
    <rPh sb="2" eb="4">
      <t>ジュンビ</t>
    </rPh>
    <phoneticPr fontId="2"/>
  </si>
  <si>
    <t>作物準備2</t>
    <rPh sb="0" eb="2">
      <t>サクモツ</t>
    </rPh>
    <rPh sb="2" eb="4">
      <t>ジュンビ</t>
    </rPh>
    <phoneticPr fontId="2"/>
  </si>
  <si>
    <t>作物準備1</t>
    <rPh sb="0" eb="2">
      <t>サクモツ</t>
    </rPh>
    <rPh sb="2" eb="4">
      <t>ジュンビ</t>
    </rPh>
    <phoneticPr fontId="2"/>
  </si>
  <si>
    <t>リスト入力用作物カウンタ</t>
    <rPh sb="3" eb="5">
      <t>ニュウリョク</t>
    </rPh>
    <rPh sb="5" eb="6">
      <t>ヨウ</t>
    </rPh>
    <rPh sb="6" eb="8">
      <t>サクモツ</t>
    </rPh>
    <phoneticPr fontId="2"/>
  </si>
  <si>
    <t>作物用検索カウンタ</t>
    <rPh sb="0" eb="1">
      <t>サク</t>
    </rPh>
    <rPh sb="1" eb="2">
      <t>モツ</t>
    </rPh>
    <rPh sb="2" eb="3">
      <t>ヨウ</t>
    </rPh>
    <rPh sb="3" eb="5">
      <t>ケンサク</t>
    </rPh>
    <phoneticPr fontId="2"/>
  </si>
  <si>
    <t>作型用検索カウンタ1</t>
    <rPh sb="0" eb="1">
      <t>サク</t>
    </rPh>
    <rPh sb="1" eb="2">
      <t>ガタ</t>
    </rPh>
    <rPh sb="2" eb="3">
      <t>ヨウ</t>
    </rPh>
    <rPh sb="3" eb="5">
      <t>ケンサク</t>
    </rPh>
    <phoneticPr fontId="2"/>
  </si>
  <si>
    <t>判別ｶｳﾝﾀ</t>
    <rPh sb="0" eb="2">
      <t>ハンベツ</t>
    </rPh>
    <phoneticPr fontId="2"/>
  </si>
  <si>
    <t>※演算はH21.9岩手県農作物管理指針(H22.6一部改訂）に準ずる。</t>
    <rPh sb="1" eb="3">
      <t>エンザン</t>
    </rPh>
    <rPh sb="9" eb="12">
      <t>イワテケン</t>
    </rPh>
    <rPh sb="12" eb="15">
      <t>ノウサクモツ</t>
    </rPh>
    <rPh sb="15" eb="17">
      <t>カンリ</t>
    </rPh>
    <rPh sb="17" eb="19">
      <t>シシン</t>
    </rPh>
    <rPh sb="25" eb="27">
      <t>イチブ</t>
    </rPh>
    <rPh sb="27" eb="29">
      <t>カイテイ</t>
    </rPh>
    <rPh sb="31" eb="32">
      <t>ジュン</t>
    </rPh>
    <phoneticPr fontId="2"/>
  </si>
  <si>
    <t>２）土壌養分量判定分岐</t>
    <rPh sb="2" eb="4">
      <t>ドジョウ</t>
    </rPh>
    <rPh sb="4" eb="6">
      <t>ヨウブン</t>
    </rPh>
    <rPh sb="6" eb="7">
      <t>リョウ</t>
    </rPh>
    <rPh sb="7" eb="9">
      <t>ハンテイ</t>
    </rPh>
    <rPh sb="9" eb="11">
      <t>ブンキ</t>
    </rPh>
    <phoneticPr fontId="2"/>
  </si>
  <si>
    <t>CaO</t>
    <phoneticPr fontId="2"/>
  </si>
  <si>
    <t>MgO</t>
    <phoneticPr fontId="2"/>
  </si>
  <si>
    <t>K2O</t>
    <phoneticPr fontId="2"/>
  </si>
  <si>
    <t>P2O5</t>
    <phoneticPr fontId="2"/>
  </si>
  <si>
    <t>NO3</t>
    <phoneticPr fontId="2"/>
  </si>
  <si>
    <t>入力値</t>
    <rPh sb="0" eb="3">
      <t>ニュウリョクチ</t>
    </rPh>
    <phoneticPr fontId="2"/>
  </si>
  <si>
    <t>１）入力諸元変換</t>
    <rPh sb="2" eb="5">
      <t>ニュウリョクショ</t>
    </rPh>
    <rPh sb="5" eb="6">
      <t>モト</t>
    </rPh>
    <rPh sb="6" eb="8">
      <t>ヘンカン</t>
    </rPh>
    <phoneticPr fontId="2"/>
  </si>
  <si>
    <t>作物別目標値（飽和度）テーブル</t>
    <rPh sb="0" eb="2">
      <t>サクモツ</t>
    </rPh>
    <rPh sb="2" eb="3">
      <t>ベツ</t>
    </rPh>
    <rPh sb="3" eb="6">
      <t>モクヒョウチ</t>
    </rPh>
    <rPh sb="7" eb="10">
      <t>ホウワド</t>
    </rPh>
    <phoneticPr fontId="2"/>
  </si>
  <si>
    <t>２）－２養分量判定</t>
    <rPh sb="4" eb="6">
      <t>ヨウブン</t>
    </rPh>
    <rPh sb="6" eb="7">
      <t>リョウ</t>
    </rPh>
    <rPh sb="7" eb="9">
      <t>ハンテイ</t>
    </rPh>
    <phoneticPr fontId="2"/>
  </si>
  <si>
    <t>減肥基準テーブル</t>
    <rPh sb="0" eb="1">
      <t>ゲン</t>
    </rPh>
    <rPh sb="1" eb="2">
      <t>ヒ</t>
    </rPh>
    <rPh sb="2" eb="4">
      <t>キジュン</t>
    </rPh>
    <phoneticPr fontId="2"/>
  </si>
  <si>
    <t>園芸</t>
    <rPh sb="0" eb="2">
      <t>エンゲイ</t>
    </rPh>
    <phoneticPr fontId="2"/>
  </si>
  <si>
    <t>目標値回収</t>
    <rPh sb="0" eb="3">
      <t>モクヒョウチ</t>
    </rPh>
    <rPh sb="3" eb="5">
      <t>カイシュウ</t>
    </rPh>
    <phoneticPr fontId="2"/>
  </si>
  <si>
    <t>目標値演算</t>
    <rPh sb="0" eb="3">
      <t>モクヒョウチ</t>
    </rPh>
    <rPh sb="3" eb="5">
      <t>エンザン</t>
    </rPh>
    <phoneticPr fontId="2"/>
  </si>
  <si>
    <t>モード</t>
    <phoneticPr fontId="2"/>
  </si>
  <si>
    <t>減肥率(%)</t>
    <rPh sb="0" eb="1">
      <t>ゲン</t>
    </rPh>
    <rPh sb="1" eb="2">
      <t>ヒ</t>
    </rPh>
    <rPh sb="2" eb="3">
      <t>リツ</t>
    </rPh>
    <phoneticPr fontId="2"/>
  </si>
  <si>
    <t>基準値</t>
    <rPh sb="0" eb="3">
      <t>キジュンチ</t>
    </rPh>
    <phoneticPr fontId="2"/>
  </si>
  <si>
    <t>リン酸分岐</t>
    <rPh sb="2" eb="3">
      <t>サン</t>
    </rPh>
    <rPh sb="3" eb="5">
      <t>ブンキ</t>
    </rPh>
    <phoneticPr fontId="2"/>
  </si>
  <si>
    <t>黒ボク土(低)</t>
    <rPh sb="0" eb="1">
      <t>クロ</t>
    </rPh>
    <rPh sb="3" eb="4">
      <t>ド</t>
    </rPh>
    <rPh sb="5" eb="6">
      <t>テイ</t>
    </rPh>
    <phoneticPr fontId="2"/>
  </si>
  <si>
    <t>黒ボク土(高)</t>
    <rPh sb="0" eb="1">
      <t>クロ</t>
    </rPh>
    <rPh sb="3" eb="4">
      <t>ド</t>
    </rPh>
    <rPh sb="5" eb="6">
      <t>コウ</t>
    </rPh>
    <phoneticPr fontId="2"/>
  </si>
  <si>
    <t>非黒ボク土(低)</t>
    <rPh sb="0" eb="1">
      <t>ヒ</t>
    </rPh>
    <rPh sb="1" eb="2">
      <t>クロ</t>
    </rPh>
    <rPh sb="4" eb="5">
      <t>ド</t>
    </rPh>
    <rPh sb="6" eb="7">
      <t>テイ</t>
    </rPh>
    <phoneticPr fontId="2"/>
  </si>
  <si>
    <t>非黒ボク土(高)</t>
    <rPh sb="0" eb="1">
      <t>ヒ</t>
    </rPh>
    <rPh sb="1" eb="2">
      <t>クロ</t>
    </rPh>
    <rPh sb="4" eb="5">
      <t>ド</t>
    </rPh>
    <rPh sb="6" eb="7">
      <t>コウ</t>
    </rPh>
    <phoneticPr fontId="2"/>
  </si>
  <si>
    <t>２）－１養分量判定準備</t>
    <rPh sb="4" eb="6">
      <t>ヨウブン</t>
    </rPh>
    <rPh sb="6" eb="7">
      <t>リョウ</t>
    </rPh>
    <rPh sb="7" eb="9">
      <t>ハンテイ</t>
    </rPh>
    <rPh sb="9" eb="10">
      <t>ジュン</t>
    </rPh>
    <rPh sb="10" eb="11">
      <t>ソナエ</t>
    </rPh>
    <phoneticPr fontId="2"/>
  </si>
  <si>
    <t>目標値クリア判定</t>
    <rPh sb="0" eb="2">
      <t>モクヒョウ</t>
    </rPh>
    <rPh sb="2" eb="3">
      <t>チ</t>
    </rPh>
    <rPh sb="6" eb="8">
      <t>ハンテイ</t>
    </rPh>
    <phoneticPr fontId="2"/>
  </si>
  <si>
    <t>減肥基準クリア判定</t>
    <rPh sb="0" eb="1">
      <t>ゲン</t>
    </rPh>
    <rPh sb="1" eb="2">
      <t>ヒ</t>
    </rPh>
    <rPh sb="2" eb="4">
      <t>キジュン</t>
    </rPh>
    <rPh sb="7" eb="9">
      <t>ハンテイ</t>
    </rPh>
    <phoneticPr fontId="2"/>
  </si>
  <si>
    <t>【0】：目標値未満、【1】：目標値クリア</t>
    <rPh sb="4" eb="6">
      <t>モクヒョウ</t>
    </rPh>
    <rPh sb="6" eb="7">
      <t>チ</t>
    </rPh>
    <rPh sb="7" eb="9">
      <t>ミマン</t>
    </rPh>
    <rPh sb="14" eb="16">
      <t>モクヒョウ</t>
    </rPh>
    <rPh sb="16" eb="17">
      <t>チ</t>
    </rPh>
    <phoneticPr fontId="2"/>
  </si>
  <si>
    <t>補給型施肥基準テーブル</t>
    <rPh sb="0" eb="2">
      <t>ホキュウ</t>
    </rPh>
    <rPh sb="2" eb="3">
      <t>ガタ</t>
    </rPh>
    <rPh sb="3" eb="5">
      <t>セヒ</t>
    </rPh>
    <rPh sb="5" eb="7">
      <t>キジュン</t>
    </rPh>
    <phoneticPr fontId="2"/>
  </si>
  <si>
    <t>リン酸種別判定</t>
    <rPh sb="2" eb="3">
      <t>サン</t>
    </rPh>
    <rPh sb="3" eb="5">
      <t>シュベツ</t>
    </rPh>
    <rPh sb="5" eb="7">
      <t>ハンテイ</t>
    </rPh>
    <phoneticPr fontId="2"/>
  </si>
  <si>
    <t>通常</t>
    <rPh sb="0" eb="2">
      <t>ツウジョウ</t>
    </rPh>
    <phoneticPr fontId="2"/>
  </si>
  <si>
    <t>低</t>
    <rPh sb="0" eb="1">
      <t>テイ</t>
    </rPh>
    <phoneticPr fontId="2"/>
  </si>
  <si>
    <t>作成日</t>
    <rPh sb="0" eb="3">
      <t>サクセイビ</t>
    </rPh>
    <phoneticPr fontId="2"/>
  </si>
  <si>
    <t>土壌タイプカウンタ（【0】：設定しない、【1】：黒ボク土、【2】：非黒ボク土</t>
    <rPh sb="0" eb="2">
      <t>ドジョウ</t>
    </rPh>
    <rPh sb="14" eb="16">
      <t>セッテイ</t>
    </rPh>
    <rPh sb="24" eb="25">
      <t>クロ</t>
    </rPh>
    <rPh sb="27" eb="28">
      <t>ド</t>
    </rPh>
    <rPh sb="33" eb="34">
      <t>ヒ</t>
    </rPh>
    <rPh sb="34" eb="35">
      <t>クロ</t>
    </rPh>
    <rPh sb="37" eb="38">
      <t>ド</t>
    </rPh>
    <phoneticPr fontId="2"/>
  </si>
  <si>
    <t>減肥基準回収テーブル</t>
    <rPh sb="0" eb="1">
      <t>ゲン</t>
    </rPh>
    <rPh sb="1" eb="2">
      <t>ヒ</t>
    </rPh>
    <rPh sb="2" eb="4">
      <t>キジュン</t>
    </rPh>
    <rPh sb="4" eb="6">
      <t>カイシュウ</t>
    </rPh>
    <phoneticPr fontId="2"/>
  </si>
  <si>
    <t>低リン酸作物判別カウンタ（【FALSE】：低リン酸作物(0)、【TRUE】：通常処理(1)）</t>
    <rPh sb="0" eb="1">
      <t>テイ</t>
    </rPh>
    <rPh sb="3" eb="4">
      <t>サン</t>
    </rPh>
    <rPh sb="4" eb="6">
      <t>サクモツ</t>
    </rPh>
    <rPh sb="6" eb="8">
      <t>ハンベツ</t>
    </rPh>
    <rPh sb="21" eb="22">
      <t>テイ</t>
    </rPh>
    <rPh sb="24" eb="25">
      <t>サン</t>
    </rPh>
    <rPh sb="25" eb="27">
      <t>サクモツ</t>
    </rPh>
    <rPh sb="38" eb="40">
      <t>ツウジョウ</t>
    </rPh>
    <rPh sb="40" eb="42">
      <t>ショリ</t>
    </rPh>
    <phoneticPr fontId="2"/>
  </si>
  <si>
    <t>リン酸タイプ判定カウンタ(【10】：黒ボク＋低リン酸作物、【11】：黒ボク＋高リン酸、【20】：非黒ボク＋低リン酸、【21】：非黒ボク＋高リン酸</t>
    <rPh sb="2" eb="3">
      <t>サン</t>
    </rPh>
    <rPh sb="6" eb="8">
      <t>ハンテイ</t>
    </rPh>
    <rPh sb="18" eb="19">
      <t>クロ</t>
    </rPh>
    <rPh sb="22" eb="23">
      <t>テイ</t>
    </rPh>
    <rPh sb="25" eb="26">
      <t>サン</t>
    </rPh>
    <rPh sb="26" eb="28">
      <t>サクモツ</t>
    </rPh>
    <rPh sb="34" eb="35">
      <t>クロ</t>
    </rPh>
    <rPh sb="38" eb="39">
      <t>ダカ</t>
    </rPh>
    <rPh sb="41" eb="42">
      <t>サン</t>
    </rPh>
    <rPh sb="48" eb="49">
      <t>ヒ</t>
    </rPh>
    <rPh sb="49" eb="50">
      <t>クロ</t>
    </rPh>
    <rPh sb="53" eb="54">
      <t>テイ</t>
    </rPh>
    <rPh sb="56" eb="57">
      <t>サン</t>
    </rPh>
    <rPh sb="63" eb="64">
      <t>ヒ</t>
    </rPh>
    <rPh sb="64" eb="65">
      <t>クロ</t>
    </rPh>
    <rPh sb="68" eb="69">
      <t>ダカ</t>
    </rPh>
    <rPh sb="71" eb="72">
      <t>サン</t>
    </rPh>
    <phoneticPr fontId="2"/>
  </si>
  <si>
    <t>リン酸カウンタ</t>
    <rPh sb="2" eb="3">
      <t>サン</t>
    </rPh>
    <phoneticPr fontId="2"/>
  </si>
  <si>
    <t>園芸カウンタ（【1】：園芸、【0】非園芸）</t>
    <rPh sb="0" eb="2">
      <t>エンゲイ</t>
    </rPh>
    <rPh sb="11" eb="13">
      <t>エンゲイ</t>
    </rPh>
    <rPh sb="17" eb="18">
      <t>ヒ</t>
    </rPh>
    <rPh sb="18" eb="20">
      <t>エンゲイ</t>
    </rPh>
    <phoneticPr fontId="2"/>
  </si>
  <si>
    <t>リン酸分岐回収</t>
    <rPh sb="2" eb="3">
      <t>サン</t>
    </rPh>
    <rPh sb="3" eb="5">
      <t>ブンキ</t>
    </rPh>
    <rPh sb="5" eb="7">
      <t>カイシュウ</t>
    </rPh>
    <phoneticPr fontId="2"/>
  </si>
  <si>
    <t>リン酸減肥係数</t>
    <rPh sb="2" eb="3">
      <t>サン</t>
    </rPh>
    <rPh sb="3" eb="4">
      <t>ゲン</t>
    </rPh>
    <rPh sb="4" eb="5">
      <t>ヒ</t>
    </rPh>
    <rPh sb="5" eb="7">
      <t>ケイスウ</t>
    </rPh>
    <phoneticPr fontId="2"/>
  </si>
  <si>
    <t>補給型施肥量</t>
    <rPh sb="0" eb="2">
      <t>ホキュウ</t>
    </rPh>
    <rPh sb="2" eb="3">
      <t>ガタ</t>
    </rPh>
    <rPh sb="3" eb="5">
      <t>セヒ</t>
    </rPh>
    <rPh sb="5" eb="6">
      <t>リョウ</t>
    </rPh>
    <phoneticPr fontId="2"/>
  </si>
  <si>
    <t>減肥基準施肥量</t>
    <rPh sb="0" eb="1">
      <t>ゲン</t>
    </rPh>
    <rPh sb="1" eb="2">
      <t>ヒ</t>
    </rPh>
    <rPh sb="2" eb="4">
      <t>キジュン</t>
    </rPh>
    <rPh sb="4" eb="6">
      <t>セヒ</t>
    </rPh>
    <rPh sb="6" eb="7">
      <t>リョウ</t>
    </rPh>
    <phoneticPr fontId="2"/>
  </si>
  <si>
    <t>従来施肥量</t>
    <rPh sb="0" eb="2">
      <t>ジュウライ</t>
    </rPh>
    <rPh sb="2" eb="4">
      <t>セヒ</t>
    </rPh>
    <rPh sb="4" eb="5">
      <t>リョウ</t>
    </rPh>
    <phoneticPr fontId="2"/>
  </si>
  <si>
    <t>表示施肥量</t>
    <rPh sb="0" eb="2">
      <t>ヒョウジ</t>
    </rPh>
    <rPh sb="2" eb="4">
      <t>セヒ</t>
    </rPh>
    <rPh sb="4" eb="5">
      <t>リョウ</t>
    </rPh>
    <phoneticPr fontId="2"/>
  </si>
  <si>
    <t>判別用
リン酸量</t>
    <rPh sb="0" eb="2">
      <t>ハンベツ</t>
    </rPh>
    <rPh sb="2" eb="3">
      <t>ヨウ</t>
    </rPh>
    <rPh sb="6" eb="7">
      <t>サン</t>
    </rPh>
    <rPh sb="7" eb="8">
      <t>リョウ</t>
    </rPh>
    <phoneticPr fontId="2"/>
  </si>
  <si>
    <t>判別用
カリ量</t>
    <rPh sb="0" eb="2">
      <t>ハンベツ</t>
    </rPh>
    <rPh sb="2" eb="3">
      <t>ヨウ</t>
    </rPh>
    <rPh sb="6" eb="7">
      <t>リョウ</t>
    </rPh>
    <phoneticPr fontId="2"/>
  </si>
  <si>
    <t>判定</t>
    <rPh sb="0" eb="2">
      <t>ハンテイ</t>
    </rPh>
    <phoneticPr fontId="2"/>
  </si>
  <si>
    <t>カリ減肥係数</t>
    <rPh sb="2" eb="3">
      <t>ゲン</t>
    </rPh>
    <rPh sb="3" eb="4">
      <t>ヒ</t>
    </rPh>
    <rPh sb="4" eb="6">
      <t>ケイスウ</t>
    </rPh>
    <phoneticPr fontId="2"/>
  </si>
  <si>
    <t>NO3</t>
    <phoneticPr fontId="2"/>
  </si>
  <si>
    <t>減肥量</t>
    <rPh sb="0" eb="1">
      <t>ゲン</t>
    </rPh>
    <rPh sb="1" eb="2">
      <t>ヒ</t>
    </rPh>
    <rPh sb="2" eb="3">
      <t>リョウ</t>
    </rPh>
    <phoneticPr fontId="2"/>
  </si>
  <si>
    <t>補給型と減肥基準比較</t>
    <rPh sb="0" eb="2">
      <t>ホキュウ</t>
    </rPh>
    <rPh sb="2" eb="3">
      <t>ガタ</t>
    </rPh>
    <rPh sb="4" eb="5">
      <t>ゲン</t>
    </rPh>
    <rPh sb="5" eb="6">
      <t>ヒ</t>
    </rPh>
    <rPh sb="6" eb="8">
      <t>キジュン</t>
    </rPh>
    <rPh sb="8" eb="10">
      <t>ヒカク</t>
    </rPh>
    <phoneticPr fontId="2"/>
  </si>
  <si>
    <t>作型エラーカウンタ（【0】：OK、【1】：NG）</t>
    <rPh sb="0" eb="1">
      <t>サク</t>
    </rPh>
    <rPh sb="1" eb="2">
      <t>ガタ</t>
    </rPh>
    <phoneticPr fontId="2"/>
  </si>
  <si>
    <t>カテゴリ</t>
    <phoneticPr fontId="2"/>
  </si>
  <si>
    <t>名　前</t>
    <rPh sb="0" eb="1">
      <t>ナ</t>
    </rPh>
    <rPh sb="2" eb="3">
      <t>マエ</t>
    </rPh>
    <phoneticPr fontId="2"/>
  </si>
  <si>
    <t>Kg/10a</t>
    <phoneticPr fontId="2"/>
  </si>
  <si>
    <t>黒ボク土</t>
  </si>
  <si>
    <t>kg/10a</t>
    <phoneticPr fontId="2"/>
  </si>
  <si>
    <t>作物エラーカウンタ（【0】：OK、【1】：NG）</t>
    <rPh sb="0" eb="2">
      <t>サクモツ</t>
    </rPh>
    <phoneticPr fontId="2"/>
  </si>
  <si>
    <t>総合エラーカウンタ（【0】：OK、【1】：NG）</t>
    <rPh sb="0" eb="2">
      <t>ソウゴウ</t>
    </rPh>
    <phoneticPr fontId="2"/>
  </si>
  <si>
    <t>【化学肥料の施用目安量】</t>
    <rPh sb="1" eb="3">
      <t>カガク</t>
    </rPh>
    <rPh sb="3" eb="5">
      <t>ヒリョウ</t>
    </rPh>
    <rPh sb="6" eb="8">
      <t>セヨウ</t>
    </rPh>
    <rPh sb="8" eb="10">
      <t>メヤス</t>
    </rPh>
    <rPh sb="10" eb="11">
      <t>リョウ</t>
    </rPh>
    <phoneticPr fontId="2"/>
  </si>
  <si>
    <t>【土壌養分レベルメーター】</t>
    <rPh sb="1" eb="3">
      <t>ドジョウ</t>
    </rPh>
    <rPh sb="3" eb="5">
      <t>ヨウブン</t>
    </rPh>
    <phoneticPr fontId="2"/>
  </si>
  <si>
    <t>岩手県農業研究センター環境部生産環境研究室</t>
    <rPh sb="0" eb="3">
      <t>イワテケン</t>
    </rPh>
    <rPh sb="3" eb="5">
      <t>ノウギョウ</t>
    </rPh>
    <rPh sb="5" eb="7">
      <t>ケンキュウ</t>
    </rPh>
    <rPh sb="11" eb="14">
      <t>カンキョウブ</t>
    </rPh>
    <rPh sb="14" eb="16">
      <t>セイサン</t>
    </rPh>
    <rPh sb="16" eb="18">
      <t>カンキョウ</t>
    </rPh>
    <rPh sb="18" eb="21">
      <t>ケンキュウシツ</t>
    </rPh>
    <phoneticPr fontId="2"/>
  </si>
  <si>
    <t>1.4～4</t>
  </si>
  <si>
    <t>1.4～4</t>
    <phoneticPr fontId="2"/>
  </si>
  <si>
    <t>1.4～2.8</t>
  </si>
  <si>
    <t>刈取り</t>
    <rPh sb="0" eb="1">
      <t>カ</t>
    </rPh>
    <rPh sb="1" eb="2">
      <t>ト</t>
    </rPh>
    <phoneticPr fontId="2"/>
  </si>
  <si>
    <t>旧施肥基準(kg/10a)</t>
    <rPh sb="0" eb="1">
      <t>キュウ</t>
    </rPh>
    <rPh sb="1" eb="3">
      <t>セヒ</t>
    </rPh>
    <rPh sb="3" eb="5">
      <t>キジュン</t>
    </rPh>
    <phoneticPr fontId="2"/>
  </si>
  <si>
    <t>補給型
施肥水準</t>
    <rPh sb="0" eb="2">
      <t>ホキュウ</t>
    </rPh>
    <rPh sb="2" eb="3">
      <t>ガタ</t>
    </rPh>
    <rPh sb="4" eb="6">
      <t>セヒ</t>
    </rPh>
    <rPh sb="6" eb="8">
      <t>スイジュン</t>
    </rPh>
    <phoneticPr fontId="2"/>
  </si>
  <si>
    <t>目標値
未満</t>
    <rPh sb="0" eb="2">
      <t>モクヒョウ</t>
    </rPh>
    <rPh sb="2" eb="3">
      <t>チ</t>
    </rPh>
    <rPh sb="4" eb="6">
      <t>ミマン</t>
    </rPh>
    <phoneticPr fontId="2"/>
  </si>
  <si>
    <t>減肥水準</t>
    <rPh sb="0" eb="1">
      <t>ゲン</t>
    </rPh>
    <rPh sb="1" eb="2">
      <t>ヒ</t>
    </rPh>
    <rPh sb="2" eb="4">
      <t>スイジュン</t>
    </rPh>
    <phoneticPr fontId="2"/>
  </si>
  <si>
    <t>目標値
未満</t>
    <rPh sb="0" eb="3">
      <t>モクヒョウチ</t>
    </rPh>
    <rPh sb="4" eb="6">
      <t>ミマン</t>
    </rPh>
    <phoneticPr fontId="2"/>
  </si>
  <si>
    <t>従来
施肥水準</t>
    <rPh sb="0" eb="2">
      <t>ジュウライ</t>
    </rPh>
    <rPh sb="3" eb="5">
      <t>セヒ</t>
    </rPh>
    <rPh sb="5" eb="7">
      <t>スイジュン</t>
    </rPh>
    <phoneticPr fontId="2"/>
  </si>
  <si>
    <t>mg/100g</t>
    <phoneticPr fontId="2"/>
  </si>
  <si>
    <t>　　　　</t>
    <phoneticPr fontId="2"/>
  </si>
  <si>
    <t>極早生～晩生(3年目以降)</t>
  </si>
  <si>
    <t>ファイバースノウ</t>
  </si>
  <si>
    <t>ナンブコムギ</t>
  </si>
  <si>
    <t>ネバリゴシ</t>
  </si>
  <si>
    <t>コユキコムギ</t>
  </si>
  <si>
    <t>ゆきちから</t>
  </si>
  <si>
    <t>キタカミコムギ</t>
  </si>
  <si>
    <t>ナンブシロメ</t>
  </si>
  <si>
    <t>スズカリ</t>
  </si>
  <si>
    <t>青丸くん</t>
  </si>
  <si>
    <t>コスズ</t>
  </si>
  <si>
    <t>南部黒平</t>
  </si>
  <si>
    <t>ベニダイナゴン</t>
  </si>
  <si>
    <t>岩手大納言</t>
  </si>
  <si>
    <t>岩手早生</t>
  </si>
  <si>
    <t>ニューアステカ</t>
  </si>
  <si>
    <t>施設栽培(ハウス半促成)</t>
  </si>
  <si>
    <t>露地栽培(露地普通)</t>
  </si>
  <si>
    <t>雨よけ普通栽培</t>
  </si>
  <si>
    <t>ハウス半促成栽培</t>
  </si>
  <si>
    <t>雨よけ普通栽培（ミニトマト）</t>
  </si>
  <si>
    <t>雨よけハウス栽培</t>
  </si>
  <si>
    <t>露地栽培</t>
  </si>
  <si>
    <t>ハウスまたはトンネル栽培</t>
  </si>
  <si>
    <t>トンネル栽培(マルチ)</t>
  </si>
  <si>
    <t>トンネル栽培</t>
  </si>
  <si>
    <t>春まき早出し栽培</t>
  </si>
  <si>
    <t>高冷地夏どり栽培</t>
  </si>
  <si>
    <t>平地秋どり栽培</t>
  </si>
  <si>
    <t>マルチまたは露地</t>
  </si>
  <si>
    <t>初夏どり栽培</t>
  </si>
  <si>
    <t>夏秋どり栽培</t>
  </si>
  <si>
    <t>春取り栽培(平場)</t>
  </si>
  <si>
    <t>初夏どり栽培(高冷地)</t>
  </si>
  <si>
    <t>露地栽培(定植年)</t>
  </si>
  <si>
    <t>露地栽培(2年目)</t>
  </si>
  <si>
    <t>露地栽培(3年目)</t>
  </si>
  <si>
    <t>露地栽培(4年目以降)</t>
  </si>
  <si>
    <t>促成栽培</t>
  </si>
  <si>
    <t>ハウス栽培(1作目)</t>
  </si>
  <si>
    <t>ハウス栽培(2作目)</t>
  </si>
  <si>
    <t>ハウス栽培(3作目)</t>
  </si>
  <si>
    <t>ハウス栽培(4作目)</t>
  </si>
  <si>
    <t>切りみつば</t>
  </si>
  <si>
    <t>根みつば</t>
  </si>
  <si>
    <t>秋どり(1本ねぎ)</t>
  </si>
  <si>
    <t>ｹﾝﾀｯｷｰﾜﾝﾀﾞｰ</t>
  </si>
  <si>
    <t>さつきみどり2号</t>
  </si>
  <si>
    <t>夏まき栽培</t>
  </si>
  <si>
    <t>早生、中生(マルチ)</t>
  </si>
  <si>
    <t>晩生(無マルチ)</t>
  </si>
  <si>
    <t>マルチ直まき</t>
  </si>
  <si>
    <t>露地普通栽培</t>
  </si>
  <si>
    <t>株養成</t>
  </si>
  <si>
    <t>定植時</t>
  </si>
  <si>
    <t>極早生～晩生(2年目)</t>
  </si>
  <si>
    <t>極晩生(2年目)</t>
  </si>
  <si>
    <t>極晩生(3年目以降)</t>
  </si>
  <si>
    <t>一輪ぎく(ハウス栽培)</t>
  </si>
  <si>
    <t>小ぎく(露地栽培)</t>
  </si>
  <si>
    <t>スプレーギク(ハウス栽培)</t>
  </si>
  <si>
    <t>ｱｼﾞｱﾃｨｯｸﾊｲﾌﾞﾘｯﾄﾞ(露地及びﾊｳｽ)</t>
  </si>
  <si>
    <t>ｵﾘｴﾝﾀﾙﾊｲﾌﾞﾘｯﾄﾞ(ﾊｳｽ栽培)</t>
  </si>
  <si>
    <t>ｼﾝﾃｯﾎﾟｳﾕﾘ(露地栽培)</t>
  </si>
  <si>
    <t>シヌアータ(1年生)</t>
  </si>
  <si>
    <t>ﾊｲﾌﾞﾘｯﾄﾞ(宿根性・ﾊｳｽ栽培)</t>
  </si>
  <si>
    <t>挿し芽苗利用</t>
  </si>
  <si>
    <t>据え置苗利用</t>
  </si>
  <si>
    <t>露地およびハウス</t>
  </si>
  <si>
    <t>普通樹(無袋ふじ・15年以上)</t>
  </si>
  <si>
    <t>普通樹(つがる、ふじ、その他・15年以上)</t>
  </si>
  <si>
    <t>わい性樹（1～2年）</t>
  </si>
  <si>
    <t>わい性樹（3～4年）</t>
  </si>
  <si>
    <t>わい性樹（5～7年）</t>
  </si>
  <si>
    <t>わい性樹（8年～）</t>
  </si>
  <si>
    <t>ｷｬﾝﾍﾞﾙｱｰﾘｰ(1～3年)</t>
  </si>
  <si>
    <t>ｷｬﾝﾍﾞﾙｱｰﾘｰ(4～5年)</t>
  </si>
  <si>
    <t>ｷｬﾝﾍﾞﾙｱｰﾘｰ(6～7年)</t>
  </si>
  <si>
    <t>ｷｬﾝﾍﾞﾙｱｰﾘｰ(8年～)</t>
  </si>
  <si>
    <t>デラウェア(1～3年)</t>
  </si>
  <si>
    <t>デラウェア(4～5年)</t>
  </si>
  <si>
    <t>デラウェア(6～7年)</t>
  </si>
  <si>
    <t>デラウェア(8年～)</t>
  </si>
  <si>
    <t>ｻﾆｰﾙｰｼﾞｭ(1～3年)</t>
  </si>
  <si>
    <t>ｻﾆｰﾙｰｼﾞｭ(4～5年)</t>
  </si>
  <si>
    <t>ｻﾆｰﾙｰｼﾞｭ(6～7年)</t>
  </si>
  <si>
    <t>ｻﾆｰﾙｰｼﾞｭ(8年～)</t>
  </si>
  <si>
    <t>紅伊豆(1～3年)</t>
  </si>
  <si>
    <t>紅伊豆(4～5年)</t>
  </si>
  <si>
    <t>紅伊豆(6～7年)</t>
  </si>
  <si>
    <t>紅伊豆(8年～)</t>
  </si>
  <si>
    <t>普通樹(1～3年）</t>
  </si>
  <si>
    <t>普通樹(4～5年）</t>
  </si>
  <si>
    <t>普通樹(6～7年）</t>
  </si>
  <si>
    <t>普通樹(8年～）</t>
  </si>
  <si>
    <t>わい性樹(1～3年）</t>
  </si>
  <si>
    <t>わい性樹(4～5年）</t>
  </si>
  <si>
    <t>わい性樹(6～7年）</t>
  </si>
  <si>
    <t>わい性樹(8年～）</t>
  </si>
  <si>
    <t>大久保(2～3年)</t>
  </si>
  <si>
    <t>大久保(4～5年)</t>
  </si>
  <si>
    <t>大久保(6～7年)</t>
  </si>
  <si>
    <t>大久保(8年～)</t>
  </si>
  <si>
    <t>佐藤錦、ﾅﾎﾟﾚｵﾝ(2～4年)</t>
  </si>
  <si>
    <t>佐藤錦、ﾅﾎﾟﾚｵﾝ(5～9年)</t>
  </si>
  <si>
    <t>佐藤錦、ﾅﾎﾟﾚｵﾝ(10～14年)</t>
  </si>
  <si>
    <t>佐藤錦、ﾅﾎﾟﾚｵﾝ(15年～)</t>
  </si>
  <si>
    <t>白加賀、豊後(1～3年）</t>
  </si>
  <si>
    <t>白加賀、豊後(4～5年）</t>
  </si>
  <si>
    <t>白加賀、豊後(6～7年）</t>
  </si>
  <si>
    <t>白加賀、豊後(8～9年）</t>
  </si>
  <si>
    <t>白加賀、豊後(10～13年）</t>
  </si>
  <si>
    <t>白加賀、豊後(14～16年）</t>
  </si>
  <si>
    <t>ハウス栽培_いちご</t>
  </si>
  <si>
    <t>露地栽培_いちご</t>
  </si>
  <si>
    <t>ハウス栽培_メロン</t>
  </si>
  <si>
    <t>春まき栽培_ごぼう</t>
  </si>
  <si>
    <t>普通栽培_ながいも</t>
  </si>
  <si>
    <t>普通栽培_ばれいしょ</t>
  </si>
  <si>
    <t>普通栽培_にんにく</t>
  </si>
  <si>
    <t>普通栽培_たまねぎ</t>
  </si>
  <si>
    <t>秋どり栽培_はくさい</t>
  </si>
  <si>
    <t>秋どり栽培_レタス</t>
  </si>
  <si>
    <t>夏秋どり栽培_非結球レタス</t>
  </si>
  <si>
    <t>普通栽培_ブロッコリー</t>
  </si>
  <si>
    <t>春まき栽培_カリフラワー</t>
  </si>
  <si>
    <t>ハウス栽培_しゅんぎく</t>
  </si>
  <si>
    <t>露地栽培(定植年)_にら</t>
  </si>
  <si>
    <t>露地栽培(2年目以降)_にら</t>
  </si>
  <si>
    <t>露地栽培(定植年)_みょうが</t>
  </si>
  <si>
    <t>露地栽培(2年目以降)_みょうが</t>
  </si>
  <si>
    <t>春まき栽培_さやえんどう</t>
  </si>
  <si>
    <t>普通栽培_かぼちゃ</t>
  </si>
  <si>
    <t>ハウス栽培_なばな</t>
  </si>
  <si>
    <t>露地栽培(定植年)_もみじがさ</t>
  </si>
  <si>
    <t>露地栽培(2年目以降)_もみじがさ</t>
  </si>
  <si>
    <t>ハウス栽培(1作目)_みずな</t>
  </si>
  <si>
    <t>ハウス栽培(2作目)_みずな</t>
  </si>
  <si>
    <t>ハウス栽培(3作目)_みずな</t>
  </si>
  <si>
    <t>ハウス栽培(4作目)_みずな</t>
  </si>
  <si>
    <t>ハウス栽培_トルコギキョウ</t>
  </si>
  <si>
    <t>ハウス栽培_ストック</t>
  </si>
  <si>
    <t>ハウス栽培_カーネーション</t>
  </si>
  <si>
    <t>ハウス栽培_グラジオラス</t>
  </si>
  <si>
    <t>施肥量が無設定の項目は【999】を代入</t>
    <rPh sb="0" eb="2">
      <t>セヒ</t>
    </rPh>
    <rPh sb="2" eb="3">
      <t>リョウ</t>
    </rPh>
    <rPh sb="4" eb="5">
      <t>ム</t>
    </rPh>
    <rPh sb="5" eb="7">
      <t>セッテイ</t>
    </rPh>
    <rPh sb="8" eb="10">
      <t>コウモク</t>
    </rPh>
    <rPh sb="17" eb="19">
      <t>ダイニュウ</t>
    </rPh>
    <phoneticPr fontId="2"/>
  </si>
  <si>
    <t>【-1】：従来施肥(目標未達)、【0】：従来施肥(無設定)、【1】：補給型施肥、【2】：減肥基準、【5】：減肥可能(窒素専用）</t>
    <rPh sb="5" eb="7">
      <t>ジュウライ</t>
    </rPh>
    <rPh sb="7" eb="9">
      <t>セヒ</t>
    </rPh>
    <rPh sb="10" eb="12">
      <t>モクヒョウ</t>
    </rPh>
    <rPh sb="12" eb="13">
      <t>ミ</t>
    </rPh>
    <rPh sb="13" eb="14">
      <t>タツ</t>
    </rPh>
    <rPh sb="20" eb="22">
      <t>ジュウライ</t>
    </rPh>
    <rPh sb="22" eb="24">
      <t>セヒ</t>
    </rPh>
    <rPh sb="25" eb="26">
      <t>ム</t>
    </rPh>
    <rPh sb="26" eb="28">
      <t>セッテイ</t>
    </rPh>
    <rPh sb="34" eb="36">
      <t>ホキュウ</t>
    </rPh>
    <rPh sb="36" eb="37">
      <t>ガタ</t>
    </rPh>
    <rPh sb="37" eb="39">
      <t>セヒ</t>
    </rPh>
    <rPh sb="44" eb="45">
      <t>ゲン</t>
    </rPh>
    <rPh sb="45" eb="46">
      <t>ヒ</t>
    </rPh>
    <rPh sb="46" eb="48">
      <t>キジュン</t>
    </rPh>
    <rPh sb="53" eb="54">
      <t>ゲン</t>
    </rPh>
    <rPh sb="54" eb="55">
      <t>ヒ</t>
    </rPh>
    <rPh sb="55" eb="57">
      <t>カノウ</t>
    </rPh>
    <rPh sb="58" eb="60">
      <t>チッソ</t>
    </rPh>
    <rPh sb="60" eb="62">
      <t>センヨウ</t>
    </rPh>
    <phoneticPr fontId="2"/>
  </si>
  <si>
    <t>採草地</t>
    <rPh sb="0" eb="3">
      <t>サイソウチ</t>
    </rPh>
    <phoneticPr fontId="2"/>
  </si>
  <si>
    <t>ｵｰﾁｬｰﾄﾞｸﾞﾗｽ主体_刈取後（最終刈取後除く）</t>
    <rPh sb="11" eb="13">
      <t>シュタイ</t>
    </rPh>
    <rPh sb="14" eb="16">
      <t>カリトリ</t>
    </rPh>
    <rPh sb="16" eb="17">
      <t>ゴ</t>
    </rPh>
    <rPh sb="18" eb="20">
      <t>サイシュウ</t>
    </rPh>
    <rPh sb="20" eb="22">
      <t>カリトリ</t>
    </rPh>
    <rPh sb="22" eb="23">
      <t>ゴ</t>
    </rPh>
    <rPh sb="23" eb="24">
      <t>ノゾ</t>
    </rPh>
    <phoneticPr fontId="2"/>
  </si>
  <si>
    <t>ｵｰﾁｬｰﾄﾞｸﾞﾗｽ主体_早春</t>
    <rPh sb="11" eb="13">
      <t>シュタイ</t>
    </rPh>
    <rPh sb="14" eb="16">
      <t>ソウシュン</t>
    </rPh>
    <phoneticPr fontId="2"/>
  </si>
  <si>
    <t>ﾁﾓｼｰ主体_早春</t>
    <rPh sb="4" eb="6">
      <t>シュタイ</t>
    </rPh>
    <rPh sb="7" eb="9">
      <t>ソウシュン</t>
    </rPh>
    <phoneticPr fontId="2"/>
  </si>
  <si>
    <t>ﾁﾓｼｰ主体_刈取後（最終刈取後除く）</t>
    <rPh sb="4" eb="6">
      <t>シュタイ</t>
    </rPh>
    <rPh sb="7" eb="9">
      <t>カリトリ</t>
    </rPh>
    <rPh sb="9" eb="10">
      <t>ゴ</t>
    </rPh>
    <rPh sb="11" eb="13">
      <t>サイシュウ</t>
    </rPh>
    <rPh sb="13" eb="15">
      <t>カリトリ</t>
    </rPh>
    <rPh sb="15" eb="16">
      <t>ゴ</t>
    </rPh>
    <rPh sb="16" eb="17">
      <t>ノゾ</t>
    </rPh>
    <phoneticPr fontId="2"/>
  </si>
  <si>
    <t>ｱﾙﾌｧﾙﾌｧ混播_早春</t>
    <rPh sb="7" eb="8">
      <t>コン</t>
    </rPh>
    <rPh sb="8" eb="9">
      <t>マ</t>
    </rPh>
    <rPh sb="10" eb="12">
      <t>ソウシュン</t>
    </rPh>
    <phoneticPr fontId="2"/>
  </si>
  <si>
    <t>ｱﾙﾌｧﾙﾌｧ混播_刈取後（最終刈取後除く）</t>
    <rPh sb="7" eb="8">
      <t>コン</t>
    </rPh>
    <rPh sb="8" eb="9">
      <t>マ</t>
    </rPh>
    <rPh sb="10" eb="12">
      <t>カリトリ</t>
    </rPh>
    <rPh sb="12" eb="13">
      <t>ゴ</t>
    </rPh>
    <rPh sb="14" eb="16">
      <t>サイシュウ</t>
    </rPh>
    <rPh sb="16" eb="18">
      <t>カリトリ</t>
    </rPh>
    <rPh sb="18" eb="19">
      <t>ゴ</t>
    </rPh>
    <rPh sb="19" eb="20">
      <t>ノゾ</t>
    </rPh>
    <phoneticPr fontId="2"/>
  </si>
  <si>
    <t>採草/放牧兼用</t>
    <rPh sb="0" eb="2">
      <t>サイソウ</t>
    </rPh>
    <rPh sb="3" eb="5">
      <t>ホウボク</t>
    </rPh>
    <rPh sb="5" eb="7">
      <t>ケンヨウ</t>
    </rPh>
    <phoneticPr fontId="2"/>
  </si>
  <si>
    <t>放牧地</t>
    <rPh sb="0" eb="2">
      <t>ホウボク</t>
    </rPh>
    <rPh sb="2" eb="3">
      <t>チ</t>
    </rPh>
    <phoneticPr fontId="2"/>
  </si>
  <si>
    <t>デントコーン</t>
    <phoneticPr fontId="2"/>
  </si>
  <si>
    <t>ソルガム類</t>
    <rPh sb="4" eb="5">
      <t>ルイ</t>
    </rPh>
    <phoneticPr fontId="2"/>
  </si>
  <si>
    <t>ｽｰﾀﾞﾝ型、ｽｰﾀﾞﾝｸﾞﾗｽ</t>
    <rPh sb="5" eb="6">
      <t>ガタ</t>
    </rPh>
    <phoneticPr fontId="2"/>
  </si>
  <si>
    <t>ライ麦（飼）</t>
    <rPh sb="2" eb="3">
      <t>ムギ</t>
    </rPh>
    <rPh sb="4" eb="5">
      <t>シ</t>
    </rPh>
    <phoneticPr fontId="2"/>
  </si>
  <si>
    <t>大麦（飼）</t>
    <rPh sb="0" eb="2">
      <t>オオムギ</t>
    </rPh>
    <rPh sb="3" eb="4">
      <t>シ</t>
    </rPh>
    <phoneticPr fontId="2"/>
  </si>
  <si>
    <t>ひえ（飼）</t>
    <rPh sb="3" eb="4">
      <t>シ</t>
    </rPh>
    <phoneticPr fontId="2"/>
  </si>
  <si>
    <t>エン麦（飼）</t>
    <rPh sb="2" eb="3">
      <t>バク</t>
    </rPh>
    <rPh sb="4" eb="5">
      <t>シ</t>
    </rPh>
    <phoneticPr fontId="2"/>
  </si>
  <si>
    <t>極早生種_デント</t>
    <rPh sb="0" eb="1">
      <t>ゴク</t>
    </rPh>
    <rPh sb="1" eb="3">
      <t>ワセ</t>
    </rPh>
    <rPh sb="3" eb="4">
      <t>シュ</t>
    </rPh>
    <phoneticPr fontId="2"/>
  </si>
  <si>
    <t>早生種_デント</t>
    <rPh sb="0" eb="2">
      <t>ワセ</t>
    </rPh>
    <rPh sb="2" eb="3">
      <t>シュ</t>
    </rPh>
    <phoneticPr fontId="2"/>
  </si>
  <si>
    <t>中生種_デント</t>
    <rPh sb="0" eb="1">
      <t>ナカ</t>
    </rPh>
    <rPh sb="1" eb="2">
      <t>イ</t>
    </rPh>
    <rPh sb="2" eb="3">
      <t>シュ</t>
    </rPh>
    <phoneticPr fontId="2"/>
  </si>
  <si>
    <t>晩生種_デント</t>
    <rPh sb="0" eb="2">
      <t>バンセイ</t>
    </rPh>
    <rPh sb="2" eb="3">
      <t>シュ</t>
    </rPh>
    <phoneticPr fontId="2"/>
  </si>
  <si>
    <t>早生～中生_ｿﾙｶﾞﾑ</t>
    <rPh sb="0" eb="2">
      <t>ワセ</t>
    </rPh>
    <rPh sb="3" eb="4">
      <t>ナカ</t>
    </rPh>
    <rPh sb="4" eb="5">
      <t>イ</t>
    </rPh>
    <phoneticPr fontId="2"/>
  </si>
  <si>
    <t>晩生_ｿﾙｶﾞﾑ</t>
    <rPh sb="0" eb="2">
      <t>バンセイ</t>
    </rPh>
    <phoneticPr fontId="2"/>
  </si>
  <si>
    <t>その他青刈作物</t>
    <rPh sb="2" eb="3">
      <t>タ</t>
    </rPh>
    <rPh sb="3" eb="5">
      <t>アオガ</t>
    </rPh>
    <rPh sb="5" eb="7">
      <t>サクモツ</t>
    </rPh>
    <phoneticPr fontId="2"/>
  </si>
  <si>
    <t>早春(牧草ほう芽期）</t>
    <rPh sb="0" eb="2">
      <t>ソウシュン</t>
    </rPh>
    <rPh sb="3" eb="5">
      <t>ボクソウ</t>
    </rPh>
    <rPh sb="7" eb="8">
      <t>メ</t>
    </rPh>
    <rPh sb="8" eb="9">
      <t>キ</t>
    </rPh>
    <phoneticPr fontId="2"/>
  </si>
  <si>
    <t>夏期(7月)</t>
    <rPh sb="0" eb="2">
      <t>カキ</t>
    </rPh>
    <rPh sb="4" eb="5">
      <t>ガツ</t>
    </rPh>
    <phoneticPr fontId="2"/>
  </si>
  <si>
    <t>ｽﾌﾟﾘﾝｸﾞﾌﾗｯｼｭ抑制_初夏(6月中旬)</t>
    <rPh sb="12" eb="14">
      <t>ヨクセイ</t>
    </rPh>
    <rPh sb="15" eb="17">
      <t>ショカ</t>
    </rPh>
    <rPh sb="19" eb="20">
      <t>ガツ</t>
    </rPh>
    <rPh sb="20" eb="22">
      <t>チュウジュン</t>
    </rPh>
    <phoneticPr fontId="2"/>
  </si>
  <si>
    <t>5～8</t>
    <phoneticPr fontId="2"/>
  </si>
  <si>
    <t>別途確認</t>
    <rPh sb="0" eb="2">
      <t>ベット</t>
    </rPh>
    <rPh sb="2" eb="4">
      <t>カクニン</t>
    </rPh>
    <phoneticPr fontId="2"/>
  </si>
  <si>
    <t>-</t>
    <phoneticPr fontId="2"/>
  </si>
  <si>
    <t>総合判定</t>
    <rPh sb="0" eb="2">
      <t>ソウゴウ</t>
    </rPh>
    <rPh sb="2" eb="4">
      <t>ハンテイ</t>
    </rPh>
    <phoneticPr fontId="2"/>
  </si>
  <si>
    <t>技術者に相談コメント表示制御</t>
    <rPh sb="0" eb="2">
      <t>ギジュツ</t>
    </rPh>
    <rPh sb="2" eb="3">
      <t>シャ</t>
    </rPh>
    <rPh sb="4" eb="6">
      <t>ソウダン</t>
    </rPh>
    <rPh sb="10" eb="12">
      <t>ヒョウジ</t>
    </rPh>
    <rPh sb="12" eb="14">
      <t>セイギョ</t>
    </rPh>
    <phoneticPr fontId="2"/>
  </si>
  <si>
    <t>未入力判定</t>
    <rPh sb="0" eb="1">
      <t>ミ</t>
    </rPh>
    <rPh sb="1" eb="3">
      <t>ニュウリョク</t>
    </rPh>
    <rPh sb="3" eb="5">
      <t>ハンテイ</t>
    </rPh>
    <phoneticPr fontId="2"/>
  </si>
  <si>
    <t>【0】：未入力、【1】：目標クリア、【10】：目標未満</t>
    <rPh sb="4" eb="5">
      <t>ミ</t>
    </rPh>
    <rPh sb="5" eb="7">
      <t>ニュウリョク</t>
    </rPh>
    <rPh sb="12" eb="14">
      <t>モクヒョウ</t>
    </rPh>
    <rPh sb="23" eb="25">
      <t>モクヒョウ</t>
    </rPh>
    <rPh sb="25" eb="27">
      <t>ミマン</t>
    </rPh>
    <phoneticPr fontId="2"/>
  </si>
  <si>
    <t>5（追肥）</t>
    <rPh sb="2" eb="4">
      <t>ツイヒ</t>
    </rPh>
    <phoneticPr fontId="2"/>
  </si>
  <si>
    <t>5(追肥)</t>
    <rPh sb="2" eb="4">
      <t>ツイヒ</t>
    </rPh>
    <phoneticPr fontId="2"/>
  </si>
  <si>
    <t>硝酸態窒素</t>
    <rPh sb="0" eb="2">
      <t>ショウサン</t>
    </rPh>
    <rPh sb="2" eb="3">
      <t>タイ</t>
    </rPh>
    <rPh sb="3" eb="5">
      <t>チッソ</t>
    </rPh>
    <phoneticPr fontId="2"/>
  </si>
  <si>
    <t>中里系、徳田系（ハトムギ）</t>
  </si>
  <si>
    <t>中里系、徳田系（ハトムギ）</t>
    <phoneticPr fontId="2"/>
  </si>
  <si>
    <t>軽米在来(白)、達磨（ヒエ）</t>
  </si>
  <si>
    <t>軽米在来(白)、達磨（ヒエ）</t>
    <phoneticPr fontId="2"/>
  </si>
  <si>
    <t>大槌10、虎の尾（アワ）</t>
  </si>
  <si>
    <t>大槌10、虎の尾（アワ）</t>
    <phoneticPr fontId="2"/>
  </si>
  <si>
    <t>釜石16、田老系（キビ）</t>
  </si>
  <si>
    <t>釜石16、田老系（キビ）</t>
    <phoneticPr fontId="2"/>
  </si>
  <si>
    <t>普通栽培(植付年)_うるい</t>
  </si>
  <si>
    <t>普通栽培(植付年)_うるい</t>
    <phoneticPr fontId="2"/>
  </si>
  <si>
    <t>普通栽培(2年目以降)_うるい</t>
  </si>
  <si>
    <t>普通栽培(2年目以降)_うるい</t>
    <phoneticPr fontId="2"/>
  </si>
  <si>
    <t>ビニール被覆栽培_わさび</t>
  </si>
  <si>
    <t>ビニール被覆栽培_わさび</t>
    <phoneticPr fontId="2"/>
  </si>
  <si>
    <t>加工原料用畑栽培　秋定植(植付年)_わさび</t>
  </si>
  <si>
    <t>加工原料用畑栽培　秋定植(植付年)_わさび</t>
    <phoneticPr fontId="2"/>
  </si>
  <si>
    <t>加工原料用畑栽培　秋定植(2年目)_わさび</t>
  </si>
  <si>
    <t>加工原料用畑栽培　秋定植(2年目)_わさび</t>
    <phoneticPr fontId="2"/>
  </si>
  <si>
    <t>加工原料用畑栽培　秋定植(3年目)_わさび</t>
  </si>
  <si>
    <t>加工原料用畑栽培　秋定植(3年目)_わさび</t>
    <phoneticPr fontId="2"/>
  </si>
  <si>
    <t>※指針記載内容のうち、タイプミス等がある一部の品目については修正案の値を採用している（補給型施肥で修正案を採用している部分は赤セル化）。</t>
    <rPh sb="1" eb="3">
      <t>シシン</t>
    </rPh>
    <rPh sb="3" eb="5">
      <t>キサイ</t>
    </rPh>
    <rPh sb="5" eb="7">
      <t>ナイヨウ</t>
    </rPh>
    <rPh sb="16" eb="17">
      <t>トウ</t>
    </rPh>
    <rPh sb="20" eb="22">
      <t>イチブ</t>
    </rPh>
    <rPh sb="23" eb="25">
      <t>ヒンモク</t>
    </rPh>
    <rPh sb="30" eb="32">
      <t>シュウセイ</t>
    </rPh>
    <rPh sb="32" eb="33">
      <t>アン</t>
    </rPh>
    <rPh sb="34" eb="35">
      <t>アタイ</t>
    </rPh>
    <rPh sb="36" eb="38">
      <t>サイヨウ</t>
    </rPh>
    <rPh sb="43" eb="45">
      <t>ホキュウ</t>
    </rPh>
    <rPh sb="45" eb="46">
      <t>ガタ</t>
    </rPh>
    <rPh sb="46" eb="48">
      <t>セヒ</t>
    </rPh>
    <rPh sb="49" eb="51">
      <t>シュウセイ</t>
    </rPh>
    <rPh sb="51" eb="52">
      <t>アン</t>
    </rPh>
    <rPh sb="53" eb="55">
      <t>サイヨウ</t>
    </rPh>
    <rPh sb="59" eb="61">
      <t>ブブン</t>
    </rPh>
    <rPh sb="62" eb="63">
      <t>アカ</t>
    </rPh>
    <rPh sb="65" eb="66">
      <t>カ</t>
    </rPh>
    <phoneticPr fontId="2"/>
  </si>
  <si>
    <t>倒伏防止の観点から、利用初年度の早春施肥は窒素5kg/10a程度に抑える。</t>
  </si>
  <si>
    <t>倒伏防止の観点から、利用初年度の早春施肥は窒素5kg/10a程度に抑える。</t>
    <rPh sb="0" eb="2">
      <t>トウフク</t>
    </rPh>
    <rPh sb="2" eb="4">
      <t>ボウシ</t>
    </rPh>
    <rPh sb="5" eb="7">
      <t>カンテン</t>
    </rPh>
    <rPh sb="10" eb="12">
      <t>リヨウ</t>
    </rPh>
    <rPh sb="12" eb="15">
      <t>ショネンド</t>
    </rPh>
    <rPh sb="16" eb="18">
      <t>ソウシュン</t>
    </rPh>
    <rPh sb="18" eb="20">
      <t>セヒ</t>
    </rPh>
    <rPh sb="21" eb="23">
      <t>チッソ</t>
    </rPh>
    <rPh sb="30" eb="32">
      <t>テイド</t>
    </rPh>
    <rPh sb="33" eb="34">
      <t>オサ</t>
    </rPh>
    <phoneticPr fontId="2"/>
  </si>
  <si>
    <t>マメ科率が20%を切ると混播の効果が現れなくなるので注意する。</t>
    <rPh sb="2" eb="3">
      <t>カ</t>
    </rPh>
    <rPh sb="3" eb="4">
      <t>リツ</t>
    </rPh>
    <rPh sb="9" eb="10">
      <t>キ</t>
    </rPh>
    <rPh sb="12" eb="13">
      <t>コン</t>
    </rPh>
    <rPh sb="13" eb="14">
      <t>マ</t>
    </rPh>
    <rPh sb="15" eb="17">
      <t>コウカ</t>
    </rPh>
    <rPh sb="18" eb="19">
      <t>アラワ</t>
    </rPh>
    <rPh sb="26" eb="28">
      <t>チュウイ</t>
    </rPh>
    <phoneticPr fontId="2"/>
  </si>
  <si>
    <t>ｵｰﾁｬｰﾄﾞｸﾞﾗｽ主体_早春_兼用</t>
  </si>
  <si>
    <t>ｵｰﾁｬｰﾄﾞｸﾞﾗｽ主体_早春_兼用</t>
    <rPh sb="11" eb="13">
      <t>シュタイ</t>
    </rPh>
    <rPh sb="14" eb="16">
      <t>ソウシュン</t>
    </rPh>
    <rPh sb="17" eb="19">
      <t>ケンヨウ</t>
    </rPh>
    <phoneticPr fontId="2"/>
  </si>
  <si>
    <t>ｵｰﾁｬｰﾄﾞｸﾞﾗｽ主体_刈取後（最終刈取後除く）_兼用</t>
  </si>
  <si>
    <t>ｵｰﾁｬｰﾄﾞｸﾞﾗｽ主体_刈取後（最終刈取後除く）_兼用</t>
    <rPh sb="11" eb="13">
      <t>シュタイ</t>
    </rPh>
    <rPh sb="14" eb="16">
      <t>カリトリ</t>
    </rPh>
    <rPh sb="16" eb="17">
      <t>ゴ</t>
    </rPh>
    <rPh sb="18" eb="20">
      <t>サイシュウ</t>
    </rPh>
    <rPh sb="20" eb="22">
      <t>カリトリ</t>
    </rPh>
    <rPh sb="22" eb="23">
      <t>ゴ</t>
    </rPh>
    <rPh sb="23" eb="24">
      <t>ノゾ</t>
    </rPh>
    <rPh sb="27" eb="29">
      <t>ケンヨウ</t>
    </rPh>
    <phoneticPr fontId="2"/>
  </si>
  <si>
    <t>ﾁﾓｼｰ主体_早春_兼用</t>
  </si>
  <si>
    <t>ﾁﾓｼｰ主体_早春_兼用</t>
    <rPh sb="4" eb="6">
      <t>シュタイ</t>
    </rPh>
    <rPh sb="7" eb="9">
      <t>ソウシュン</t>
    </rPh>
    <rPh sb="10" eb="12">
      <t>ケンヨウ</t>
    </rPh>
    <phoneticPr fontId="2"/>
  </si>
  <si>
    <t>ﾁﾓｼｰ主体_刈取後（最終刈取後除く）_兼用</t>
  </si>
  <si>
    <t>ﾁﾓｼｰ主体_刈取後（最終刈取後除く）_兼用</t>
    <rPh sb="4" eb="6">
      <t>シュタイ</t>
    </rPh>
    <rPh sb="7" eb="9">
      <t>カリトリ</t>
    </rPh>
    <rPh sb="9" eb="10">
      <t>ゴ</t>
    </rPh>
    <rPh sb="11" eb="13">
      <t>サイシュウ</t>
    </rPh>
    <rPh sb="13" eb="15">
      <t>カリトリ</t>
    </rPh>
    <rPh sb="15" eb="16">
      <t>ゴ</t>
    </rPh>
    <rPh sb="16" eb="17">
      <t>ノゾ</t>
    </rPh>
    <rPh sb="20" eb="22">
      <t>ケンヨウ</t>
    </rPh>
    <phoneticPr fontId="2"/>
  </si>
  <si>
    <t>ｽﾌﾟﾘﾝｸﾞﾌﾗｯｼｭ抑制_夏期(8月上旬)</t>
    <rPh sb="12" eb="14">
      <t>ヨクセイ</t>
    </rPh>
    <rPh sb="15" eb="17">
      <t>カキ</t>
    </rPh>
    <rPh sb="19" eb="20">
      <t>ガツ</t>
    </rPh>
    <rPh sb="20" eb="21">
      <t>）</t>
    </rPh>
    <phoneticPr fontId="2"/>
  </si>
  <si>
    <t>　　※1：pH、ECは未入力でも可
　　※2：CEC値は入力必須項目</t>
    <rPh sb="11" eb="12">
      <t>ミ</t>
    </rPh>
    <rPh sb="12" eb="14">
      <t>ニュウリョク</t>
    </rPh>
    <rPh sb="16" eb="17">
      <t>カ</t>
    </rPh>
    <rPh sb="26" eb="27">
      <t>チ</t>
    </rPh>
    <rPh sb="28" eb="30">
      <t>ニュウリョク</t>
    </rPh>
    <rPh sb="30" eb="32">
      <t>ヒッス</t>
    </rPh>
    <rPh sb="32" eb="34">
      <t>コウモク</t>
    </rPh>
    <phoneticPr fontId="2"/>
  </si>
  <si>
    <r>
      <t xml:space="preserve">pH
</t>
    </r>
    <r>
      <rPr>
        <sz val="10"/>
        <rFont val="ＭＳ Ｐゴシック"/>
        <family val="3"/>
        <charset val="128"/>
      </rPr>
      <t>(H</t>
    </r>
    <r>
      <rPr>
        <vertAlign val="subscript"/>
        <sz val="10"/>
        <rFont val="ＭＳ Ｐゴシック"/>
        <family val="3"/>
        <charset val="128"/>
      </rPr>
      <t>2</t>
    </r>
    <r>
      <rPr>
        <sz val="10"/>
        <rFont val="ＭＳ Ｐゴシック"/>
        <family val="3"/>
        <charset val="128"/>
      </rPr>
      <t>O)</t>
    </r>
    <phoneticPr fontId="2"/>
  </si>
  <si>
    <r>
      <t xml:space="preserve">EC
</t>
    </r>
    <r>
      <rPr>
        <sz val="10"/>
        <color indexed="8"/>
        <rFont val="ＭＳ Ｐゴシック"/>
        <family val="3"/>
        <charset val="128"/>
      </rPr>
      <t>(mS/cm)</t>
    </r>
    <phoneticPr fontId="2"/>
  </si>
  <si>
    <r>
      <t xml:space="preserve">CEC
</t>
    </r>
    <r>
      <rPr>
        <sz val="10"/>
        <color indexed="8"/>
        <rFont val="ＭＳ Ｐゴシック"/>
        <family val="3"/>
        <charset val="128"/>
      </rPr>
      <t>(meq)</t>
    </r>
    <phoneticPr fontId="2"/>
  </si>
  <si>
    <t>【精密分析値入力欄】</t>
    <rPh sb="1" eb="3">
      <t>セイミツ</t>
    </rPh>
    <rPh sb="3" eb="5">
      <t>ブンセキ</t>
    </rPh>
    <rPh sb="5" eb="6">
      <t>チ</t>
    </rPh>
    <phoneticPr fontId="2"/>
  </si>
  <si>
    <t>CEC入力値</t>
    <rPh sb="3" eb="6">
      <t>ニュウリョクチ</t>
    </rPh>
    <phoneticPr fontId="2"/>
  </si>
  <si>
    <t>5kg</t>
    <phoneticPr fontId="2"/>
  </si>
  <si>
    <t>10kg</t>
    <phoneticPr fontId="2"/>
  </si>
  <si>
    <t>15kg</t>
    <phoneticPr fontId="2"/>
  </si>
  <si>
    <t>20kg</t>
    <phoneticPr fontId="2"/>
  </si>
  <si>
    <t>25kg</t>
    <phoneticPr fontId="2"/>
  </si>
  <si>
    <t>無施肥</t>
    <rPh sb="0" eb="1">
      <t>ム</t>
    </rPh>
    <rPh sb="1" eb="3">
      <t>セヒ</t>
    </rPh>
    <phoneticPr fontId="2"/>
  </si>
  <si>
    <t>【-1】：適用せず、【0】：目標値未満、【1】：減肥水準【2】：無施肥水準、【11】：減肥水準(N,1st)、【12】：減肥水準(N,2nd)、【13】：減肥水準(N,3rd)、【14】：減肥水準(N,4th)、【15】：減肥水準(N,5th)、【16】：無施肥水準(N,6th)</t>
    <rPh sb="5" eb="7">
      <t>テキヨウ</t>
    </rPh>
    <rPh sb="14" eb="16">
      <t>モクヒョウ</t>
    </rPh>
    <rPh sb="16" eb="17">
      <t>チ</t>
    </rPh>
    <rPh sb="17" eb="19">
      <t>ミマン</t>
    </rPh>
    <rPh sb="24" eb="25">
      <t>ゲン</t>
    </rPh>
    <rPh sb="25" eb="26">
      <t>ヒ</t>
    </rPh>
    <rPh sb="26" eb="28">
      <t>スイジュン</t>
    </rPh>
    <rPh sb="32" eb="33">
      <t>ム</t>
    </rPh>
    <rPh sb="33" eb="35">
      <t>セヒ</t>
    </rPh>
    <rPh sb="35" eb="37">
      <t>スイジュン</t>
    </rPh>
    <rPh sb="43" eb="44">
      <t>ゲン</t>
    </rPh>
    <rPh sb="44" eb="45">
      <t>ヒ</t>
    </rPh>
    <rPh sb="45" eb="47">
      <t>スイジュン</t>
    </rPh>
    <rPh sb="60" eb="61">
      <t>ゲン</t>
    </rPh>
    <rPh sb="61" eb="62">
      <t>ヒ</t>
    </rPh>
    <rPh sb="62" eb="64">
      <t>スイジュン</t>
    </rPh>
    <rPh sb="77" eb="78">
      <t>ゲン</t>
    </rPh>
    <rPh sb="78" eb="79">
      <t>ヒ</t>
    </rPh>
    <rPh sb="79" eb="81">
      <t>スイジュン</t>
    </rPh>
    <rPh sb="94" eb="95">
      <t>ゲン</t>
    </rPh>
    <rPh sb="96" eb="98">
      <t>スイジュン</t>
    </rPh>
    <rPh sb="111" eb="112">
      <t>ゲン</t>
    </rPh>
    <rPh sb="112" eb="113">
      <t>ヒ</t>
    </rPh>
    <rPh sb="113" eb="115">
      <t>スイジュン</t>
    </rPh>
    <rPh sb="128" eb="129">
      <t>ム</t>
    </rPh>
    <rPh sb="129" eb="131">
      <t>セヒ</t>
    </rPh>
    <rPh sb="131" eb="133">
      <t>スイジュン</t>
    </rPh>
    <phoneticPr fontId="2"/>
  </si>
  <si>
    <t>無施肥飽和度演算</t>
    <rPh sb="0" eb="1">
      <t>ム</t>
    </rPh>
    <rPh sb="1" eb="3">
      <t>セヒ</t>
    </rPh>
    <rPh sb="3" eb="6">
      <t>ホウワド</t>
    </rPh>
    <rPh sb="6" eb="8">
      <t>エンザン</t>
    </rPh>
    <phoneticPr fontId="2"/>
  </si>
  <si>
    <t>施肥コメント制御</t>
    <rPh sb="0" eb="2">
      <t>セヒ</t>
    </rPh>
    <rPh sb="6" eb="8">
      <t>セイギョ</t>
    </rPh>
    <phoneticPr fontId="2"/>
  </si>
  <si>
    <t>【0】：コメント表示なし、【１】：カリウム（リン酸）の減肥50%施肥量が補給型施肥量より小さい場合、旧施肥基準量を参照したうえで「減肥可能コメント」を表示する。</t>
  </si>
  <si>
    <t>飼料作</t>
    <rPh sb="0" eb="2">
      <t>シリョウ</t>
    </rPh>
    <rPh sb="2" eb="3">
      <t>サク</t>
    </rPh>
    <phoneticPr fontId="2"/>
  </si>
  <si>
    <t>園芸・畑作施肥設計支援シート</t>
    <rPh sb="0" eb="2">
      <t>エンゲイ</t>
    </rPh>
    <rPh sb="3" eb="5">
      <t>ハタサク</t>
    </rPh>
    <phoneticPr fontId="2"/>
  </si>
  <si>
    <t>自由入力</t>
    <rPh sb="0" eb="2">
      <t>ジユウ</t>
    </rPh>
    <rPh sb="2" eb="4">
      <t>ニュウリョク</t>
    </rPh>
    <phoneticPr fontId="2"/>
  </si>
  <si>
    <t>CEC入力値妥当性判定</t>
    <rPh sb="3" eb="6">
      <t>ニュウリョクチ</t>
    </rPh>
    <rPh sb="6" eb="9">
      <t>ダトウセイ</t>
    </rPh>
    <rPh sb="9" eb="11">
      <t>ハンテイ</t>
    </rPh>
    <phoneticPr fontId="2"/>
  </si>
  <si>
    <t>【0】：CECが未入力・0もしくは文字列・5以下・60以上、【1】：正常</t>
    <rPh sb="8" eb="9">
      <t>ミ</t>
    </rPh>
    <rPh sb="9" eb="11">
      <t>ニュウリョク</t>
    </rPh>
    <rPh sb="17" eb="20">
      <t>モジレツ</t>
    </rPh>
    <rPh sb="22" eb="24">
      <t>イカ</t>
    </rPh>
    <rPh sb="27" eb="29">
      <t>イジョウ</t>
    </rPh>
    <rPh sb="34" eb="36">
      <t>セイジョウ</t>
    </rPh>
    <phoneticPr fontId="2"/>
  </si>
  <si>
    <t>塩基飽和度算出参照</t>
    <rPh sb="0" eb="2">
      <t>エンキ</t>
    </rPh>
    <rPh sb="2" eb="5">
      <t>ホウワド</t>
    </rPh>
    <rPh sb="5" eb="7">
      <t>サンシュツ</t>
    </rPh>
    <rPh sb="7" eb="9">
      <t>サンショウ</t>
    </rPh>
    <phoneticPr fontId="2"/>
  </si>
  <si>
    <t>野菜</t>
  </si>
  <si>
    <t>トマト</t>
  </si>
  <si>
    <t>H24.2 ver2.0
for quantitative analysis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</si>
</sst>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45" x14ac:knownFonts="1">
    <font>
      <sz val="11"/>
      <name val="ＭＳ Ｐゴシック"/>
      <charset val="128"/>
    </font>
    <font>
      <sz val="11"/>
      <name val="ＭＳ Ｐゴシック"/>
      <charset val="128"/>
    </font>
    <font>
      <sz val="6"/>
      <name val="ＭＳ Ｐゴシック"/>
      <family val="3"/>
      <charset val="128"/>
    </font>
    <font>
      <sz val="8"/>
      <name val="ＭＳ Ｐゴシック"/>
      <family val="3"/>
      <charset val="128"/>
    </font>
    <font>
      <sz val="11"/>
      <color indexed="53"/>
      <name val="ＭＳ Ｐゴシック"/>
      <family val="3"/>
      <charset val="128"/>
    </font>
    <font>
      <sz val="11"/>
      <color indexed="52"/>
      <name val="ＭＳ Ｐゴシック"/>
      <family val="3"/>
      <charset val="128"/>
    </font>
    <font>
      <sz val="11"/>
      <color indexed="10"/>
      <name val="ＭＳ Ｐゴシック"/>
      <family val="3"/>
      <charset val="128"/>
    </font>
    <font>
      <sz val="14"/>
      <name val="ＭＳ Ｐゴシック"/>
      <family val="3"/>
      <charset val="128"/>
    </font>
    <font>
      <sz val="20"/>
      <name val="ＭＳ Ｐゴシック"/>
      <family val="3"/>
      <charset val="128"/>
    </font>
    <font>
      <sz val="16"/>
      <name val="ＭＳ Ｐゴシック"/>
      <family val="3"/>
      <charset val="128"/>
    </font>
    <font>
      <sz val="16"/>
      <color indexed="10"/>
      <name val="HGS創英角ﾎﾟｯﾌﾟ体"/>
      <family val="3"/>
      <charset val="128"/>
    </font>
    <font>
      <sz val="10"/>
      <name val="ＭＳ Ｐゴシック"/>
      <family val="3"/>
      <charset val="128"/>
    </font>
    <font>
      <sz val="16"/>
      <color indexed="53"/>
      <name val="HGS創英角ﾎﾟｯﾌﾟ体"/>
      <family val="3"/>
      <charset val="128"/>
    </font>
    <font>
      <sz val="16"/>
      <color indexed="23"/>
      <name val="HGS創英角ﾎﾟｯﾌﾟ体"/>
      <family val="3"/>
      <charset val="128"/>
    </font>
    <font>
      <sz val="16"/>
      <color indexed="12"/>
      <name val="HGS創英角ﾎﾟｯﾌﾟ体"/>
      <family val="3"/>
      <charset val="128"/>
    </font>
    <font>
      <sz val="16"/>
      <color indexed="14"/>
      <name val="HGS創英角ﾎﾟｯﾌﾟ体"/>
      <family val="3"/>
      <charset val="128"/>
    </font>
    <font>
      <sz val="16"/>
      <color indexed="20"/>
      <name val="HGS創英角ﾎﾟｯﾌﾟ体"/>
      <family val="3"/>
      <charset val="128"/>
    </font>
    <font>
      <sz val="6"/>
      <color indexed="9"/>
      <name val="ＭＳ Ｐゴシック"/>
      <family val="3"/>
      <charset val="128"/>
    </font>
    <font>
      <sz val="5"/>
      <name val="ＭＳ Ｐゴシック"/>
      <family val="3"/>
      <charset val="128"/>
    </font>
    <font>
      <sz val="10.5"/>
      <name val="ＭＳ Ｐゴシック"/>
      <family val="3"/>
      <charset val="128"/>
    </font>
    <font>
      <sz val="12"/>
      <name val="ＭＳ Ｐゴシック"/>
      <family val="3"/>
      <charset val="128"/>
    </font>
    <font>
      <sz val="10.5"/>
      <color indexed="9"/>
      <name val="ＭＳ Ｐゴシック"/>
      <family val="3"/>
      <charset val="128"/>
    </font>
    <font>
      <sz val="11"/>
      <color indexed="9"/>
      <name val="ＭＳ Ｐゴシック"/>
      <family val="3"/>
      <charset val="128"/>
    </font>
    <font>
      <sz val="2"/>
      <color indexed="9"/>
      <name val="ＭＳ Ｐゴシック"/>
      <family val="3"/>
      <charset val="128"/>
    </font>
    <font>
      <sz val="10.5"/>
      <name val="HGP創英角ﾎﾟｯﾌﾟ体"/>
      <family val="3"/>
      <charset val="128"/>
    </font>
    <font>
      <sz val="14"/>
      <color indexed="20"/>
      <name val="HGP創英角ﾎﾟｯﾌﾟ体"/>
      <family val="3"/>
      <charset val="128"/>
    </font>
    <font>
      <sz val="14"/>
      <color indexed="53"/>
      <name val="HGP創英角ﾎﾟｯﾌﾟ体"/>
      <family val="3"/>
      <charset val="128"/>
    </font>
    <font>
      <sz val="14"/>
      <color indexed="23"/>
      <name val="HGP創英角ﾎﾟｯﾌﾟ体"/>
      <family val="3"/>
      <charset val="128"/>
    </font>
    <font>
      <sz val="14"/>
      <color indexed="12"/>
      <name val="HGP創英角ﾎﾟｯﾌﾟ体"/>
      <family val="3"/>
      <charset val="128"/>
    </font>
    <font>
      <sz val="14"/>
      <color indexed="14"/>
      <name val="HGP創英角ﾎﾟｯﾌﾟ体"/>
      <family val="3"/>
      <charset val="128"/>
    </font>
    <font>
      <sz val="14"/>
      <name val="HGP創英角ﾎﾟｯﾌﾟ体"/>
      <family val="3"/>
      <charset val="128"/>
    </font>
    <font>
      <sz val="11"/>
      <name val="ＭＳ Ｐゴシック"/>
      <charset val="128"/>
    </font>
    <font>
      <sz val="14"/>
      <color indexed="8"/>
      <name val="ＭＳ Ｐゴシック"/>
      <family val="3"/>
      <charset val="128"/>
    </font>
    <font>
      <vertAlign val="subscript"/>
      <sz val="10"/>
      <name val="ＭＳ Ｐゴシック"/>
      <family val="3"/>
      <charset val="128"/>
    </font>
    <font>
      <sz val="10"/>
      <color indexed="8"/>
      <name val="ＭＳ Ｐゴシック"/>
      <family val="3"/>
      <charset val="128"/>
    </font>
    <font>
      <sz val="20"/>
      <color indexed="8"/>
      <name val="HGS創英角ﾎﾟｯﾌﾟ体"/>
      <family val="3"/>
      <charset val="128"/>
    </font>
    <font>
      <sz val="11"/>
      <name val="ＭＳ Ｐゴシック"/>
      <charset val="128"/>
    </font>
    <font>
      <b/>
      <sz val="11"/>
      <color indexed="10"/>
      <name val="ＭＳ Ｐゴシック"/>
      <family val="3"/>
      <charset val="128"/>
    </font>
    <font>
      <sz val="20"/>
      <color indexed="17"/>
      <name val="ＭＳ Ｐゴシック"/>
      <family val="3"/>
      <charset val="128"/>
    </font>
    <font>
      <sz val="18"/>
      <name val="HGS創英角ﾎﾟｯﾌﾟ体"/>
      <family val="3"/>
      <charset val="128"/>
    </font>
    <font>
      <sz val="3"/>
      <color indexed="43"/>
      <name val="ＭＳ Ｐゴシック"/>
      <family val="3"/>
      <charset val="128"/>
    </font>
    <font>
      <sz val="9"/>
      <name val="HGS創英角ﾎﾟｯﾌﾟ体"/>
      <family val="3"/>
      <charset val="128"/>
    </font>
    <font>
      <sz val="9"/>
      <color indexed="17"/>
      <name val="HGS創英角ﾎﾟｯﾌﾟ体"/>
      <family val="3"/>
      <charset val="128"/>
    </font>
    <font>
      <sz val="9"/>
      <name val="ＭＳ Ｐゴシック"/>
      <family val="3"/>
      <charset val="128"/>
    </font>
    <font>
      <sz val="9"/>
      <color indexed="17"/>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10"/>
        <bgColor indexed="64"/>
      </patternFill>
    </fill>
    <fill>
      <patternFill patternType="solid">
        <fgColor indexed="45"/>
        <bgColor indexed="64"/>
      </patternFill>
    </fill>
    <fill>
      <patternFill patternType="solid">
        <fgColor indexed="41"/>
        <bgColor indexed="64"/>
      </patternFill>
    </fill>
    <fill>
      <patternFill patternType="solid">
        <fgColor indexed="42"/>
        <bgColor indexed="64"/>
      </patternFill>
    </fill>
  </fills>
  <borders count="66">
    <border>
      <left/>
      <right/>
      <top/>
      <bottom/>
      <diagonal/>
    </border>
    <border>
      <left/>
      <right/>
      <top/>
      <bottom style="dashed">
        <color indexed="64"/>
      </bottom>
      <diagonal/>
    </border>
    <border>
      <left/>
      <right style="dashed">
        <color indexed="64"/>
      </right>
      <top/>
      <bottom/>
      <diagonal/>
    </border>
    <border>
      <left/>
      <right style="dashed">
        <color indexed="64"/>
      </right>
      <top/>
      <bottom style="dashed">
        <color indexed="64"/>
      </bottom>
      <diagonal/>
    </border>
    <border>
      <left/>
      <right/>
      <top style="dashed">
        <color indexed="64"/>
      </top>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top/>
      <bottom/>
      <diagonal/>
    </border>
    <border>
      <left/>
      <right style="medium">
        <color indexed="64"/>
      </right>
      <top/>
      <bottom/>
      <diagonal/>
    </border>
    <border>
      <left/>
      <right style="medium">
        <color indexed="64"/>
      </right>
      <top/>
      <bottom style="dashed">
        <color indexed="64"/>
      </bottom>
      <diagonal/>
    </border>
    <border>
      <left/>
      <right style="medium">
        <color indexed="64"/>
      </right>
      <top style="thin">
        <color indexed="64"/>
      </top>
      <bottom/>
      <diagonal/>
    </border>
    <border>
      <left/>
      <right style="medium">
        <color indexed="64"/>
      </right>
      <top style="dashed">
        <color indexed="64"/>
      </top>
      <bottom/>
      <diagonal/>
    </border>
    <border>
      <left/>
      <right style="dashed">
        <color indexed="64"/>
      </right>
      <top/>
      <bottom style="thin">
        <color indexed="64"/>
      </bottom>
      <diagonal/>
    </border>
    <border>
      <left/>
      <right style="medium">
        <color indexed="64"/>
      </right>
      <top/>
      <bottom style="thin">
        <color indexed="64"/>
      </bottom>
      <diagonal/>
    </border>
    <border diagonalUp="1">
      <left/>
      <right/>
      <top/>
      <bottom/>
      <diagonal style="thin">
        <color indexed="64"/>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dash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ashed">
        <color indexed="64"/>
      </bottom>
      <diagonal/>
    </border>
    <border>
      <left/>
      <right style="medium">
        <color indexed="64"/>
      </right>
      <top style="dashed">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ashed">
        <color indexed="64"/>
      </right>
      <top style="dashed">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38">
    <xf numFmtId="0" fontId="0" fillId="0" borderId="0" xfId="0"/>
    <xf numFmtId="0" fontId="0" fillId="0" borderId="0" xfId="0" applyAlignment="1">
      <alignment horizontal="center" vertical="center"/>
    </xf>
    <xf numFmtId="176" fontId="0" fillId="0" borderId="0" xfId="0" applyNumberFormat="1"/>
    <xf numFmtId="176" fontId="0" fillId="0" borderId="0" xfId="0" applyNumberFormat="1" applyAlignment="1">
      <alignment horizontal="center" vertical="center"/>
    </xf>
    <xf numFmtId="177" fontId="0" fillId="0" borderId="0" xfId="0" applyNumberFormat="1"/>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xf>
    <xf numFmtId="0" fontId="0" fillId="2" borderId="0" xfId="0" applyFill="1" applyAlignment="1">
      <alignment horizontal="center" vertical="center"/>
    </xf>
    <xf numFmtId="0" fontId="0" fillId="0" borderId="0" xfId="0" applyFill="1" applyAlignment="1">
      <alignment horizontal="center" vertical="center"/>
    </xf>
    <xf numFmtId="0" fontId="4" fillId="0" borderId="0" xfId="0" applyFont="1"/>
    <xf numFmtId="0" fontId="4" fillId="0" borderId="0" xfId="0" applyFont="1" applyAlignment="1">
      <alignment horizontal="center"/>
    </xf>
    <xf numFmtId="0" fontId="4" fillId="0" borderId="0" xfId="0" applyFont="1" applyAlignment="1">
      <alignment horizontal="left"/>
    </xf>
    <xf numFmtId="49" fontId="0" fillId="0" borderId="0" xfId="0" applyNumberFormat="1"/>
    <xf numFmtId="49" fontId="0" fillId="0" borderId="0" xfId="0" applyNumberFormat="1" applyAlignment="1">
      <alignment horizontal="right"/>
    </xf>
    <xf numFmtId="0" fontId="0" fillId="0" borderId="0" xfId="0" applyAlignment="1">
      <alignment horizontal="right"/>
    </xf>
    <xf numFmtId="9" fontId="0" fillId="0" borderId="0" xfId="0" applyNumberFormat="1"/>
    <xf numFmtId="0" fontId="5" fillId="0" borderId="0" xfId="0" applyFont="1"/>
    <xf numFmtId="0" fontId="6" fillId="0" borderId="0" xfId="0" applyFont="1"/>
    <xf numFmtId="0" fontId="0" fillId="3" borderId="0" xfId="0" applyFill="1" applyAlignment="1">
      <alignment horizontal="right"/>
    </xf>
    <xf numFmtId="0" fontId="0" fillId="3" borderId="0" xfId="0" applyFill="1"/>
    <xf numFmtId="0" fontId="0" fillId="4" borderId="0" xfId="0" applyFill="1" applyBorder="1" applyAlignment="1">
      <alignment horizontal="center" vertical="center"/>
    </xf>
    <xf numFmtId="0" fontId="0" fillId="0" borderId="0" xfId="0" applyBorder="1" applyAlignment="1">
      <alignment horizontal="center" vertical="center"/>
    </xf>
    <xf numFmtId="0" fontId="2" fillId="4" borderId="1" xfId="0" applyFont="1" applyFill="1" applyBorder="1" applyAlignment="1">
      <alignment horizontal="right"/>
    </xf>
    <xf numFmtId="0" fontId="17" fillId="4" borderId="1" xfId="0" applyFont="1" applyFill="1" applyBorder="1" applyAlignment="1">
      <alignment horizontal="right"/>
    </xf>
    <xf numFmtId="0" fontId="0" fillId="4" borderId="2" xfId="0" applyFill="1" applyBorder="1" applyAlignment="1">
      <alignment horizontal="center" vertical="center"/>
    </xf>
    <xf numFmtId="0" fontId="18" fillId="4" borderId="3" xfId="0" applyFont="1" applyFill="1" applyBorder="1" applyAlignment="1">
      <alignment horizontal="right"/>
    </xf>
    <xf numFmtId="0" fontId="6" fillId="4" borderId="2" xfId="0" applyFont="1" applyFill="1" applyBorder="1" applyAlignment="1">
      <alignment horizontal="center" vertical="center"/>
    </xf>
    <xf numFmtId="0" fontId="0" fillId="4" borderId="4" xfId="0" applyFill="1" applyBorder="1" applyAlignment="1">
      <alignment horizontal="center" vertical="center"/>
    </xf>
    <xf numFmtId="0" fontId="3" fillId="4" borderId="2" xfId="0" applyFont="1" applyFill="1" applyBorder="1" applyAlignment="1">
      <alignment horizontal="center" vertical="center" wrapText="1"/>
    </xf>
    <xf numFmtId="0" fontId="19" fillId="4" borderId="2" xfId="0" applyFont="1" applyFill="1" applyBorder="1" applyAlignment="1">
      <alignment horizontal="center" vertical="center"/>
    </xf>
    <xf numFmtId="0" fontId="1" fillId="0" borderId="2" xfId="0" applyFont="1" applyFill="1" applyBorder="1" applyAlignment="1">
      <alignment horizontal="center" vertical="center"/>
    </xf>
    <xf numFmtId="49" fontId="4" fillId="0" borderId="0" xfId="0" applyNumberFormat="1" applyFont="1" applyAlignment="1">
      <alignment horizontal="left"/>
    </xf>
    <xf numFmtId="0" fontId="4" fillId="0" borderId="0" xfId="0" applyFont="1" applyAlignment="1">
      <alignment horizontal="right"/>
    </xf>
    <xf numFmtId="0" fontId="4" fillId="3" borderId="0" xfId="0" applyFont="1" applyFill="1"/>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22" fillId="4" borderId="8"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1" fillId="4" borderId="6" xfId="0" applyFont="1" applyFill="1" applyBorder="1" applyAlignment="1">
      <alignment horizontal="left" vertical="center"/>
    </xf>
    <xf numFmtId="0" fontId="21" fillId="4" borderId="11" xfId="0" applyFont="1" applyFill="1" applyBorder="1" applyAlignment="1">
      <alignment horizontal="left" vertical="center"/>
    </xf>
    <xf numFmtId="0" fontId="22" fillId="4" borderId="12" xfId="0" applyFont="1" applyFill="1" applyBorder="1" applyAlignment="1">
      <alignment horizontal="center" vertical="center"/>
    </xf>
    <xf numFmtId="0" fontId="23" fillId="4" borderId="0" xfId="0" applyFont="1" applyFill="1" applyBorder="1" applyAlignment="1">
      <alignment horizontal="left" vertical="center"/>
    </xf>
    <xf numFmtId="0" fontId="23" fillId="4" borderId="13" xfId="0" applyFont="1" applyFill="1" applyBorder="1" applyAlignment="1">
      <alignment horizontal="left" vertical="center"/>
    </xf>
    <xf numFmtId="0" fontId="23" fillId="4" borderId="9" xfId="0" applyFont="1" applyFill="1" applyBorder="1" applyAlignment="1">
      <alignment horizontal="left" vertical="center"/>
    </xf>
    <xf numFmtId="0" fontId="23" fillId="4" borderId="9" xfId="0" applyFont="1" applyFill="1" applyBorder="1" applyAlignment="1">
      <alignment horizontal="center" vertical="center"/>
    </xf>
    <xf numFmtId="0" fontId="23" fillId="4" borderId="14" xfId="0" applyFont="1" applyFill="1" applyBorder="1" applyAlignment="1">
      <alignment horizontal="center" vertical="center"/>
    </xf>
    <xf numFmtId="0" fontId="1" fillId="5" borderId="0" xfId="0" applyFont="1" applyFill="1"/>
    <xf numFmtId="0" fontId="0" fillId="5" borderId="0" xfId="0" applyFill="1"/>
    <xf numFmtId="0" fontId="36" fillId="4" borderId="0" xfId="0" applyFont="1" applyFill="1" applyBorder="1" applyAlignment="1">
      <alignment horizontal="center" vertical="center"/>
    </xf>
    <xf numFmtId="0" fontId="11" fillId="4" borderId="0" xfId="0" applyFont="1" applyFill="1" applyBorder="1" applyAlignment="1">
      <alignment horizontal="left" vertical="center" wrapText="1"/>
    </xf>
    <xf numFmtId="0" fontId="0" fillId="2" borderId="0" xfId="0" applyFill="1"/>
    <xf numFmtId="0" fontId="9" fillId="4"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0" fillId="2" borderId="15" xfId="0" applyFill="1" applyBorder="1"/>
    <xf numFmtId="0" fontId="0" fillId="4" borderId="0" xfId="0" applyFill="1" applyAlignment="1">
      <alignment horizontal="center" vertical="center"/>
    </xf>
    <xf numFmtId="0" fontId="9" fillId="4" borderId="0" xfId="0" applyFont="1" applyFill="1" applyBorder="1" applyAlignment="1">
      <alignment horizontal="right" vertical="center"/>
    </xf>
    <xf numFmtId="0" fontId="1" fillId="4" borderId="2" xfId="0" applyFont="1" applyFill="1" applyBorder="1" applyAlignment="1">
      <alignment horizontal="center" vertical="center"/>
    </xf>
    <xf numFmtId="0" fontId="9" fillId="4" borderId="16" xfId="0" applyFont="1" applyFill="1" applyBorder="1" applyAlignment="1">
      <alignment horizontal="center" vertical="center"/>
    </xf>
    <xf numFmtId="0" fontId="31" fillId="4"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4" fillId="4" borderId="0" xfId="0" applyFont="1" applyFill="1" applyBorder="1" applyAlignment="1">
      <alignment horizontal="center" vertical="center"/>
    </xf>
    <xf numFmtId="0" fontId="3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17" xfId="0" applyFont="1" applyFill="1" applyBorder="1" applyAlignment="1">
      <alignment horizontal="left" vertical="center"/>
    </xf>
    <xf numFmtId="0" fontId="21" fillId="4" borderId="18" xfId="0" applyFont="1" applyFill="1" applyBorder="1" applyAlignment="1">
      <alignment horizontal="left" vertical="center"/>
    </xf>
    <xf numFmtId="0" fontId="21" fillId="4" borderId="19" xfId="0" applyFont="1" applyFill="1" applyBorder="1" applyAlignment="1">
      <alignment horizontal="left" vertical="center"/>
    </xf>
    <xf numFmtId="0" fontId="21" fillId="4" borderId="8" xfId="0" applyFont="1" applyFill="1" applyBorder="1" applyAlignment="1">
      <alignment horizontal="left" vertical="center"/>
    </xf>
    <xf numFmtId="0" fontId="21" fillId="4" borderId="0" xfId="0" applyFont="1" applyFill="1" applyBorder="1" applyAlignment="1">
      <alignment horizontal="left" vertical="center"/>
    </xf>
    <xf numFmtId="0" fontId="21" fillId="4" borderId="20" xfId="0" applyFont="1" applyFill="1" applyBorder="1" applyAlignment="1">
      <alignment horizontal="left" vertical="center"/>
    </xf>
    <xf numFmtId="0" fontId="21" fillId="4" borderId="1" xfId="0" applyFont="1" applyFill="1" applyBorder="1" applyAlignment="1">
      <alignment horizontal="left" vertical="center"/>
    </xf>
    <xf numFmtId="0" fontId="21" fillId="4" borderId="7" xfId="0" applyFont="1" applyFill="1" applyBorder="1" applyAlignment="1">
      <alignment horizontal="left" vertical="center"/>
    </xf>
    <xf numFmtId="0" fontId="21" fillId="4" borderId="21" xfId="0" applyFont="1" applyFill="1" applyBorder="1" applyAlignment="1">
      <alignment horizontal="left" vertical="center"/>
    </xf>
    <xf numFmtId="0" fontId="21" fillId="4" borderId="4" xfId="0" applyFont="1" applyFill="1" applyBorder="1" applyAlignment="1">
      <alignment horizontal="left" vertical="center"/>
    </xf>
    <xf numFmtId="0" fontId="21" fillId="4" borderId="5" xfId="0" applyFont="1" applyFill="1" applyBorder="1" applyAlignment="1">
      <alignment horizontal="left" vertical="center"/>
    </xf>
    <xf numFmtId="0" fontId="21" fillId="4" borderId="11" xfId="0" applyFont="1" applyFill="1" applyBorder="1" applyAlignment="1">
      <alignment horizontal="center" vertical="center"/>
    </xf>
    <xf numFmtId="0" fontId="32" fillId="4" borderId="39" xfId="0" applyFont="1" applyFill="1" applyBorder="1" applyAlignment="1">
      <alignment horizontal="center" vertical="center" wrapText="1"/>
    </xf>
    <xf numFmtId="0" fontId="32" fillId="4" borderId="39" xfId="0" applyFont="1" applyFill="1" applyBorder="1" applyAlignment="1">
      <alignment horizontal="center" vertical="center"/>
    </xf>
    <xf numFmtId="176" fontId="32" fillId="2" borderId="39" xfId="0" applyNumberFormat="1" applyFont="1" applyFill="1" applyBorder="1" applyAlignment="1">
      <alignment horizontal="center" vertical="center"/>
    </xf>
    <xf numFmtId="0" fontId="35" fillId="4" borderId="38" xfId="0" applyFont="1" applyFill="1" applyBorder="1" applyAlignment="1">
      <alignment horizontal="left" vertical="center"/>
    </xf>
    <xf numFmtId="0" fontId="7" fillId="2" borderId="39" xfId="0" applyFont="1" applyFill="1" applyBorder="1" applyAlignment="1">
      <alignment horizontal="center" vertical="center"/>
    </xf>
    <xf numFmtId="0" fontId="7" fillId="2" borderId="64" xfId="0" applyFont="1" applyFill="1" applyBorder="1" applyAlignment="1">
      <alignment horizontal="center" vertical="center"/>
    </xf>
    <xf numFmtId="0" fontId="32" fillId="2" borderId="39" xfId="0" applyNumberFormat="1" applyFont="1" applyFill="1" applyBorder="1" applyAlignment="1">
      <alignment horizontal="center" vertical="center"/>
    </xf>
    <xf numFmtId="0" fontId="0" fillId="0" borderId="39" xfId="0" applyBorder="1" applyAlignment="1">
      <alignment horizontal="center" vertical="center"/>
    </xf>
    <xf numFmtId="176" fontId="7" fillId="2" borderId="39" xfId="0" applyNumberFormat="1" applyFont="1" applyFill="1" applyBorder="1" applyAlignment="1">
      <alignment horizontal="center" vertical="center"/>
    </xf>
    <xf numFmtId="176" fontId="7" fillId="2" borderId="64" xfId="0" applyNumberFormat="1" applyFont="1" applyFill="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8" xfId="0" applyBorder="1" applyAlignment="1">
      <alignment horizontal="center" vertical="center" wrapText="1"/>
    </xf>
    <xf numFmtId="0" fontId="0" fillId="0" borderId="53" xfId="0" applyBorder="1" applyAlignment="1">
      <alignment horizontal="center" vertical="center" wrapText="1"/>
    </xf>
    <xf numFmtId="0" fontId="0" fillId="0" borderId="38" xfId="0" applyBorder="1" applyAlignment="1">
      <alignment horizontal="center" vertical="center" wrapText="1"/>
    </xf>
    <xf numFmtId="0" fontId="0" fillId="0" borderId="65" xfId="0" applyBorder="1" applyAlignment="1">
      <alignment horizontal="center" vertical="center" wrapText="1"/>
    </xf>
    <xf numFmtId="0" fontId="11" fillId="0" borderId="63" xfId="0" applyFont="1" applyBorder="1" applyAlignment="1">
      <alignment horizontal="left" vertical="center"/>
    </xf>
    <xf numFmtId="0" fontId="11" fillId="0" borderId="39" xfId="0" applyFont="1" applyBorder="1" applyAlignment="1">
      <alignment horizontal="left" vertical="center"/>
    </xf>
    <xf numFmtId="0" fontId="10" fillId="4" borderId="18" xfId="0" applyFont="1" applyFill="1" applyBorder="1" applyAlignment="1">
      <alignment horizontal="center" vertical="center"/>
    </xf>
    <xf numFmtId="0" fontId="9" fillId="0" borderId="39" xfId="0" applyFont="1" applyBorder="1" applyAlignment="1">
      <alignment horizontal="center" vertical="center"/>
    </xf>
    <xf numFmtId="0" fontId="9" fillId="8" borderId="39" xfId="0" applyFont="1" applyFill="1" applyBorder="1" applyAlignment="1">
      <alignment horizontal="center" vertical="center"/>
    </xf>
    <xf numFmtId="0" fontId="7" fillId="0" borderId="39" xfId="0" applyFont="1" applyBorder="1" applyAlignment="1">
      <alignment horizontal="center" vertical="center" wrapText="1"/>
    </xf>
    <xf numFmtId="0" fontId="7" fillId="0" borderId="39" xfId="0" applyFont="1" applyBorder="1" applyAlignment="1">
      <alignment horizontal="center" vertical="center"/>
    </xf>
    <xf numFmtId="0" fontId="0" fillId="0" borderId="39" xfId="0" applyBorder="1" applyAlignment="1">
      <alignment horizontal="center" vertical="center" wrapText="1"/>
    </xf>
    <xf numFmtId="0" fontId="40" fillId="4" borderId="4" xfId="0" applyFont="1" applyFill="1" applyBorder="1" applyAlignment="1">
      <alignment horizontal="right" vertical="top" wrapText="1"/>
    </xf>
    <xf numFmtId="0" fontId="40" fillId="4" borderId="60" xfId="0" applyFont="1" applyFill="1" applyBorder="1" applyAlignment="1">
      <alignment horizontal="right" vertical="top" wrapText="1"/>
    </xf>
    <xf numFmtId="0" fontId="40" fillId="4" borderId="0" xfId="0" applyFont="1" applyFill="1" applyBorder="1" applyAlignment="1">
      <alignment horizontal="right" vertical="top" wrapText="1"/>
    </xf>
    <xf numFmtId="0" fontId="40" fillId="4" borderId="2" xfId="0" applyFont="1" applyFill="1" applyBorder="1" applyAlignment="1">
      <alignment horizontal="right" vertical="top" wrapText="1"/>
    </xf>
    <xf numFmtId="0" fontId="39" fillId="4" borderId="4" xfId="0" applyFont="1" applyFill="1" applyBorder="1" applyAlignment="1">
      <alignment horizontal="center" vertical="center"/>
    </xf>
    <xf numFmtId="0" fontId="39" fillId="4" borderId="38" xfId="0" applyFont="1" applyFill="1" applyBorder="1" applyAlignment="1">
      <alignment horizontal="center" vertical="center"/>
    </xf>
    <xf numFmtId="49" fontId="9" fillId="0" borderId="39" xfId="0" applyNumberFormat="1" applyFont="1" applyBorder="1" applyAlignment="1">
      <alignment horizontal="center" vertical="center"/>
    </xf>
    <xf numFmtId="0" fontId="18" fillId="4" borderId="1" xfId="0" applyFont="1" applyFill="1" applyBorder="1" applyAlignment="1">
      <alignment horizontal="right"/>
    </xf>
    <xf numFmtId="0" fontId="8" fillId="4" borderId="0" xfId="0" applyFont="1" applyFill="1" applyBorder="1" applyAlignment="1">
      <alignment horizontal="left" vertical="center"/>
    </xf>
    <xf numFmtId="0" fontId="3" fillId="4" borderId="0" xfId="0" applyFont="1" applyFill="1" applyBorder="1" applyAlignment="1">
      <alignment horizontal="left"/>
    </xf>
    <xf numFmtId="0" fontId="8" fillId="0" borderId="0" xfId="0" applyFont="1" applyBorder="1" applyAlignment="1">
      <alignment horizontal="left" vertical="center"/>
    </xf>
    <xf numFmtId="0" fontId="1" fillId="0" borderId="39"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9" fillId="2" borderId="41" xfId="0" applyFont="1" applyFill="1" applyBorder="1" applyAlignment="1">
      <alignment horizontal="center" vertical="center" wrapText="1"/>
    </xf>
    <xf numFmtId="0" fontId="19" fillId="2" borderId="0" xfId="0" applyFont="1" applyFill="1" applyBorder="1" applyAlignment="1">
      <alignment horizontal="center" vertical="center"/>
    </xf>
    <xf numFmtId="0" fontId="19" fillId="2" borderId="41" xfId="0" applyFont="1" applyFill="1" applyBorder="1" applyAlignment="1">
      <alignment horizontal="center" vertical="center"/>
    </xf>
    <xf numFmtId="0" fontId="27" fillId="0" borderId="52" xfId="0" applyFont="1" applyFill="1" applyBorder="1" applyAlignment="1">
      <alignment horizontal="center" vertical="center" wrapText="1"/>
    </xf>
    <xf numFmtId="0" fontId="27" fillId="0" borderId="35" xfId="0" applyFont="1" applyFill="1" applyBorder="1" applyAlignment="1">
      <alignment horizontal="center" vertical="center"/>
    </xf>
    <xf numFmtId="0" fontId="27" fillId="0" borderId="53" xfId="0" applyFont="1" applyFill="1" applyBorder="1" applyAlignment="1">
      <alignment horizontal="center" vertical="center"/>
    </xf>
    <xf numFmtId="0" fontId="27" fillId="0" borderId="38" xfId="0" applyFont="1" applyFill="1" applyBorder="1" applyAlignment="1">
      <alignment horizontal="center" vertical="center"/>
    </xf>
    <xf numFmtId="0" fontId="19" fillId="7" borderId="41" xfId="0" applyFont="1" applyFill="1" applyBorder="1" applyAlignment="1">
      <alignment horizontal="center" vertical="center" wrapText="1"/>
    </xf>
    <xf numFmtId="0" fontId="19" fillId="7" borderId="0" xfId="0" applyFont="1" applyFill="1" applyBorder="1" applyAlignment="1">
      <alignment horizontal="center" vertical="center"/>
    </xf>
    <xf numFmtId="0" fontId="19" fillId="7" borderId="41" xfId="0" applyFont="1" applyFill="1" applyBorder="1" applyAlignment="1">
      <alignment horizontal="center" vertical="center"/>
    </xf>
    <xf numFmtId="0" fontId="19" fillId="0"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56"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59" xfId="0" applyFont="1" applyFill="1" applyBorder="1" applyAlignment="1">
      <alignment horizontal="center" vertical="center"/>
    </xf>
    <xf numFmtId="0" fontId="37" fillId="4" borderId="35" xfId="0" applyFont="1" applyFill="1" applyBorder="1" applyAlignment="1">
      <alignment horizontal="center" vertical="center"/>
    </xf>
    <xf numFmtId="0" fontId="37" fillId="4" borderId="0"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6" fillId="0" borderId="34" xfId="0" applyFont="1" applyFill="1" applyBorder="1" applyAlignment="1">
      <alignment horizontal="center" vertical="center" wrapText="1"/>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14"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9" fillId="7" borderId="40" xfId="0" applyFont="1" applyFill="1" applyBorder="1" applyAlignment="1">
      <alignment horizontal="center" vertical="center" wrapText="1"/>
    </xf>
    <xf numFmtId="0" fontId="19" fillId="7" borderId="18" xfId="0" applyFont="1" applyFill="1" applyBorder="1" applyAlignment="1">
      <alignment horizontal="center" vertical="center"/>
    </xf>
    <xf numFmtId="0" fontId="19" fillId="7" borderId="48" xfId="0" applyFont="1" applyFill="1" applyBorder="1" applyAlignment="1">
      <alignment horizontal="center" vertical="center"/>
    </xf>
    <xf numFmtId="0" fontId="19" fillId="7" borderId="49" xfId="0" applyFont="1" applyFill="1" applyBorder="1" applyAlignment="1">
      <alignment horizontal="center" vertical="center"/>
    </xf>
    <xf numFmtId="0" fontId="19" fillId="7" borderId="42" xfId="0" applyFont="1" applyFill="1" applyBorder="1" applyAlignment="1">
      <alignment horizontal="center" vertical="center"/>
    </xf>
    <xf numFmtId="0" fontId="19" fillId="7" borderId="1" xfId="0" applyFont="1" applyFill="1" applyBorder="1" applyAlignment="1">
      <alignment horizontal="center" vertical="center"/>
    </xf>
    <xf numFmtId="0" fontId="19" fillId="7" borderId="50" xfId="0" applyFont="1" applyFill="1" applyBorder="1" applyAlignment="1">
      <alignment horizontal="center" vertical="center"/>
    </xf>
    <xf numFmtId="0" fontId="19" fillId="7" borderId="26" xfId="0" applyFont="1" applyFill="1" applyBorder="1" applyAlignment="1">
      <alignment horizontal="center" vertical="center" wrapText="1"/>
    </xf>
    <xf numFmtId="0" fontId="19" fillId="7" borderId="4"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55"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59" xfId="0" applyFont="1" applyFill="1" applyBorder="1" applyAlignment="1">
      <alignment horizontal="center" vertical="center"/>
    </xf>
    <xf numFmtId="0" fontId="25" fillId="0" borderId="52" xfId="0" applyFont="1" applyFill="1" applyBorder="1" applyAlignment="1">
      <alignment horizontal="center" vertical="center" wrapText="1"/>
    </xf>
    <xf numFmtId="0" fontId="25" fillId="0" borderId="35" xfId="0" applyFont="1" applyFill="1" applyBorder="1" applyAlignment="1">
      <alignment horizontal="center" vertical="center"/>
    </xf>
    <xf numFmtId="0" fontId="25" fillId="0" borderId="53" xfId="0" applyFont="1" applyFill="1" applyBorder="1" applyAlignment="1">
      <alignment horizontal="center" vertical="center"/>
    </xf>
    <xf numFmtId="0" fontId="25" fillId="0" borderId="38" xfId="0" applyFont="1" applyFill="1" applyBorder="1" applyAlignment="1">
      <alignment horizontal="center" vertical="center"/>
    </xf>
    <xf numFmtId="0" fontId="20" fillId="0" borderId="39" xfId="0" applyFont="1" applyFill="1" applyBorder="1" applyAlignment="1">
      <alignment horizontal="center" vertical="center"/>
    </xf>
    <xf numFmtId="0" fontId="19" fillId="6" borderId="40"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0" xfId="0" applyFont="1" applyFill="1" applyBorder="1" applyAlignment="1">
      <alignment horizontal="center" vertical="center"/>
    </xf>
    <xf numFmtId="0" fontId="19" fillId="6" borderId="42" xfId="0" applyFont="1" applyFill="1" applyBorder="1" applyAlignment="1">
      <alignment horizontal="center" vertical="center"/>
    </xf>
    <xf numFmtId="0" fontId="19" fillId="6" borderId="1"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7" xfId="0" applyFont="1" applyFill="1" applyBorder="1" applyAlignment="1">
      <alignment horizontal="center" vertical="center"/>
    </xf>
    <xf numFmtId="0" fontId="30" fillId="0" borderId="44" xfId="0" applyFont="1" applyFill="1" applyBorder="1" applyAlignment="1">
      <alignment horizontal="center" vertical="center"/>
    </xf>
    <xf numFmtId="0" fontId="16" fillId="4" borderId="27" xfId="0" applyFont="1" applyFill="1" applyBorder="1" applyAlignment="1">
      <alignment horizontal="center" vertical="center"/>
    </xf>
    <xf numFmtId="0" fontId="16" fillId="4" borderId="28"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28" xfId="0" applyFont="1" applyFill="1" applyBorder="1" applyAlignment="1">
      <alignment horizontal="center" vertical="center"/>
    </xf>
    <xf numFmtId="0" fontId="12" fillId="4" borderId="29" xfId="0" applyFont="1" applyFill="1" applyBorder="1" applyAlignment="1">
      <alignment horizontal="center" vertical="center"/>
    </xf>
    <xf numFmtId="0" fontId="41" fillId="6" borderId="22" xfId="0" applyFont="1" applyFill="1" applyBorder="1" applyAlignment="1">
      <alignment horizontal="center" vertical="center" wrapText="1"/>
    </xf>
    <xf numFmtId="0" fontId="41" fillId="6" borderId="16"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4" borderId="0"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8" fillId="0" borderId="35"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14" xfId="0" applyFont="1" applyFill="1" applyBorder="1" applyAlignment="1">
      <alignment horizontal="center" vertical="center"/>
    </xf>
    <xf numFmtId="0" fontId="29" fillId="0" borderId="61"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13" fillId="4" borderId="27" xfId="0" applyFont="1" applyFill="1" applyBorder="1" applyAlignment="1">
      <alignment horizontal="center" vertical="center"/>
    </xf>
    <xf numFmtId="0" fontId="13" fillId="4" borderId="28" xfId="0" applyFont="1" applyFill="1" applyBorder="1" applyAlignment="1">
      <alignment horizontal="center" vertical="center"/>
    </xf>
    <xf numFmtId="0" fontId="42" fillId="4" borderId="22" xfId="0" applyFont="1" applyFill="1" applyBorder="1" applyAlignment="1">
      <alignment horizontal="center" vertical="center"/>
    </xf>
    <xf numFmtId="0" fontId="42" fillId="4" borderId="16"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26"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29" xfId="0" applyFont="1" applyFill="1" applyBorder="1" applyAlignment="1">
      <alignment horizontal="center" vertical="center"/>
    </xf>
    <xf numFmtId="0" fontId="43" fillId="4" borderId="26"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4" borderId="22" xfId="0" applyFont="1" applyFill="1" applyBorder="1" applyAlignment="1">
      <alignment horizontal="center" vertical="center" wrapText="1"/>
    </xf>
    <xf numFmtId="0" fontId="43" fillId="4" borderId="16" xfId="0" applyFont="1" applyFill="1" applyBorder="1" applyAlignment="1">
      <alignment horizontal="center" vertical="center" wrapText="1"/>
    </xf>
    <xf numFmtId="0" fontId="43" fillId="4" borderId="23" xfId="0" applyFont="1" applyFill="1" applyBorder="1" applyAlignment="1">
      <alignment horizontal="center" vertical="center" wrapText="1"/>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44" fillId="4" borderId="22" xfId="0" applyFont="1" applyFill="1" applyBorder="1" applyAlignment="1">
      <alignment horizontal="center" vertical="center"/>
    </xf>
    <xf numFmtId="0" fontId="44" fillId="4" borderId="16" xfId="0" applyFont="1" applyFill="1" applyBorder="1" applyAlignment="1">
      <alignment horizontal="center" vertical="center"/>
    </xf>
    <xf numFmtId="0" fontId="44" fillId="4" borderId="23" xfId="0" applyFont="1" applyFill="1" applyBorder="1" applyAlignment="1">
      <alignment horizontal="center" vertical="center"/>
    </xf>
    <xf numFmtId="0" fontId="9" fillId="4" borderId="12"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29" xfId="0" applyFont="1" applyFill="1" applyBorder="1" applyAlignment="1">
      <alignment horizontal="center" vertical="center"/>
    </xf>
    <xf numFmtId="0" fontId="9" fillId="4" borderId="5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77" fontId="0" fillId="0" borderId="0" xfId="0" applyNumberFormat="1" applyAlignment="1">
      <alignment horizontal="center" vertical="center" wrapText="1"/>
    </xf>
    <xf numFmtId="176" fontId="0" fillId="0" borderId="0" xfId="0" applyNumberFormat="1" applyAlignment="1">
      <alignment horizontal="center" vertical="center"/>
    </xf>
    <xf numFmtId="0" fontId="0" fillId="0" borderId="0" xfId="0" applyNumberFormat="1" applyAlignment="1">
      <alignment horizontal="center" vertical="center"/>
    </xf>
  </cellXfs>
  <cellStyles count="1">
    <cellStyle name="標準" xfId="0" builtinId="0"/>
  </cellStyles>
  <dxfs count="46">
    <dxf>
      <font>
        <condense val="0"/>
        <extend val="0"/>
        <color indexed="17"/>
      </font>
      <fill>
        <patternFill>
          <bgColor indexed="43"/>
        </patternFill>
      </fill>
    </dxf>
    <dxf>
      <font>
        <condense val="0"/>
        <extend val="0"/>
        <color indexed="17"/>
      </font>
      <fill>
        <patternFill>
          <bgColor indexed="43"/>
        </patternFill>
      </fill>
    </dxf>
    <dxf>
      <font>
        <condense val="0"/>
        <extend val="0"/>
        <color indexed="17"/>
      </font>
      <fill>
        <patternFill>
          <bgColor indexed="43"/>
        </patternFill>
      </fill>
    </dxf>
    <dxf>
      <fill>
        <patternFill>
          <bgColor indexed="41"/>
        </patternFill>
      </fill>
    </dxf>
    <dxf>
      <fill>
        <patternFill>
          <bgColor indexed="45"/>
        </patternFill>
      </fill>
    </dxf>
    <dxf>
      <fill>
        <patternFill>
          <bgColor indexed="45"/>
        </patternFill>
      </fill>
    </dxf>
    <dxf>
      <fill>
        <patternFill>
          <bgColor indexed="41"/>
        </patternFill>
      </fill>
    </dxf>
    <dxf>
      <fill>
        <patternFill>
          <bgColor indexed="45"/>
        </patternFill>
      </fill>
    </dxf>
    <dxf>
      <fill>
        <patternFill>
          <bgColor indexed="41"/>
        </patternFill>
      </fill>
    </dxf>
    <dxf>
      <fill>
        <patternFill>
          <bgColor indexed="41"/>
        </patternFill>
      </fill>
    </dxf>
    <dxf>
      <font>
        <condense val="0"/>
        <extend val="0"/>
        <color auto="1"/>
      </font>
      <fill>
        <patternFill>
          <bgColor indexed="4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57150</xdr:colOff>
      <xdr:row>39</xdr:row>
      <xdr:rowOff>47625</xdr:rowOff>
    </xdr:from>
    <xdr:to>
      <xdr:col>25</xdr:col>
      <xdr:colOff>28575</xdr:colOff>
      <xdr:row>43</xdr:row>
      <xdr:rowOff>180975</xdr:rowOff>
    </xdr:to>
    <xdr:pic>
      <xdr:nvPicPr>
        <xdr:cNvPr id="1026" name="Picture 2" descr="C:\Documents and Settings\Z208907\デスクトップ\原子吸光.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0" y="7362825"/>
          <a:ext cx="1771650"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142875</xdr:colOff>
      <xdr:row>37</xdr:row>
      <xdr:rowOff>152400</xdr:rowOff>
    </xdr:from>
    <xdr:to>
      <xdr:col>25</xdr:col>
      <xdr:colOff>9525</xdr:colOff>
      <xdr:row>38</xdr:row>
      <xdr:rowOff>228600</xdr:rowOff>
    </xdr:to>
    <xdr:sp macro="" textlink="">
      <xdr:nvSpPr>
        <xdr:cNvPr id="1027" name="AutoShape 3"/>
        <xdr:cNvSpPr>
          <a:spLocks noChangeArrowheads="1"/>
        </xdr:cNvSpPr>
      </xdr:nvSpPr>
      <xdr:spPr bwMode="auto">
        <a:xfrm>
          <a:off x="4657725" y="6858000"/>
          <a:ext cx="1666875" cy="381000"/>
        </a:xfrm>
        <a:prstGeom prst="roundRect">
          <a:avLst>
            <a:gd name="adj" fmla="val 16667"/>
          </a:avLst>
        </a:prstGeom>
        <a:noFill/>
        <a:ln w="57150">
          <a:pattFill prst="pct75">
            <a:fgClr>
              <a:srgbClr xmlns:mc="http://schemas.openxmlformats.org/markup-compatibility/2006" xmlns:a14="http://schemas.microsoft.com/office/drawing/2010/main" val="FF6600" mc:Ignorable="a14" a14:legacySpreadsheetColorIndex="53"/>
            </a:fgClr>
            <a:bgClr>
              <a:srgbClr xmlns:mc="http://schemas.openxmlformats.org/markup-compatibility/2006" xmlns:a14="http://schemas.microsoft.com/office/drawing/2010/main" val="FFFF00" mc:Ignorable="a14" a14:legacySpreadsheetColorIndex="13"/>
            </a:bgClr>
          </a:patt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45720" tIns="22860" rIns="45720" bIns="0" anchor="t" upright="1"/>
        <a:lstStyle/>
        <a:p>
          <a:pPr algn="ctr" rtl="0">
            <a:defRPr sz="1000"/>
          </a:pPr>
          <a:r>
            <a:rPr lang="ja-JP" altLang="en-US" sz="1600" b="0" i="0" u="none" strike="noStrike" baseline="0">
              <a:solidFill>
                <a:srgbClr val="FF6600"/>
              </a:solidFill>
              <a:latin typeface="HGS創英角ﾎﾟｯﾌﾟ体"/>
              <a:ea typeface="HGS創英角ﾎﾟｯﾌﾟ体"/>
            </a:rPr>
            <a:t>精密分析専用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N727"/>
  <sheetViews>
    <sheetView tabSelected="1" topLeftCell="A10" zoomScaleNormal="100" workbookViewId="0">
      <selection activeCell="F13" sqref="F13:I14"/>
    </sheetView>
  </sheetViews>
  <sheetFormatPr defaultRowHeight="13.5" x14ac:dyDescent="0.15"/>
  <cols>
    <col min="1" max="1" width="1.625" style="1" customWidth="1"/>
    <col min="2" max="8" width="3.375" style="1" customWidth="1"/>
    <col min="9" max="10" width="3.5" style="1" customWidth="1"/>
    <col min="11" max="25" width="3.375" style="1" customWidth="1"/>
    <col min="26" max="26" width="1.625" style="1" customWidth="1"/>
    <col min="27" max="42" width="9" style="1"/>
    <col min="43" max="43" width="36.125" style="1" bestFit="1" customWidth="1"/>
    <col min="44" max="16384" width="9" style="1"/>
  </cols>
  <sheetData>
    <row r="1" spans="1:66" ht="17.25" customHeight="1" x14ac:dyDescent="0.15">
      <c r="A1" s="35"/>
      <c r="B1" s="28"/>
      <c r="C1" s="111" t="s">
        <v>638</v>
      </c>
      <c r="D1" s="111"/>
      <c r="E1" s="111"/>
      <c r="F1" s="111"/>
      <c r="G1" s="111"/>
      <c r="H1" s="111"/>
      <c r="I1" s="111"/>
      <c r="J1" s="111"/>
      <c r="K1" s="111"/>
      <c r="L1" s="111"/>
      <c r="M1" s="111"/>
      <c r="N1" s="111"/>
      <c r="O1" s="111"/>
      <c r="P1" s="111"/>
      <c r="Q1" s="111"/>
      <c r="R1" s="111"/>
      <c r="S1" s="111"/>
      <c r="T1" s="111"/>
      <c r="U1" s="111"/>
      <c r="V1" s="111"/>
      <c r="W1" s="111"/>
      <c r="X1" s="107" t="s">
        <v>645</v>
      </c>
      <c r="Y1" s="107"/>
      <c r="Z1" s="108"/>
    </row>
    <row r="2" spans="1:66" ht="21" customHeight="1" x14ac:dyDescent="0.15">
      <c r="A2" s="36"/>
      <c r="B2" s="21"/>
      <c r="C2" s="112"/>
      <c r="D2" s="112"/>
      <c r="E2" s="112"/>
      <c r="F2" s="112"/>
      <c r="G2" s="112"/>
      <c r="H2" s="112"/>
      <c r="I2" s="112"/>
      <c r="J2" s="112"/>
      <c r="K2" s="112"/>
      <c r="L2" s="112"/>
      <c r="M2" s="112"/>
      <c r="N2" s="112"/>
      <c r="O2" s="112"/>
      <c r="P2" s="112"/>
      <c r="Q2" s="112"/>
      <c r="R2" s="112"/>
      <c r="S2" s="112"/>
      <c r="T2" s="112"/>
      <c r="U2" s="112"/>
      <c r="V2" s="112"/>
      <c r="W2" s="112"/>
      <c r="X2" s="109"/>
      <c r="Y2" s="109"/>
      <c r="Z2" s="110"/>
    </row>
    <row r="3" spans="1:66" ht="17.25" customHeight="1" x14ac:dyDescent="0.15">
      <c r="A3" s="36"/>
      <c r="B3" s="21"/>
      <c r="C3" s="102" t="s">
        <v>295</v>
      </c>
      <c r="D3" s="102"/>
      <c r="E3" s="102"/>
      <c r="F3" s="102"/>
      <c r="G3" s="103" t="s">
        <v>387</v>
      </c>
      <c r="H3" s="103"/>
      <c r="I3" s="103"/>
      <c r="J3" s="103"/>
      <c r="K3" s="103"/>
      <c r="L3" s="103"/>
      <c r="M3" s="103"/>
      <c r="N3" s="102" t="s">
        <v>363</v>
      </c>
      <c r="O3" s="102"/>
      <c r="P3" s="102"/>
      <c r="Q3" s="102"/>
      <c r="R3" s="113"/>
      <c r="S3" s="113"/>
      <c r="T3" s="113"/>
      <c r="U3" s="113"/>
      <c r="V3" s="113"/>
      <c r="W3" s="113"/>
      <c r="X3" s="113"/>
      <c r="Y3" s="21"/>
      <c r="Z3" s="25"/>
      <c r="AT3"/>
      <c r="AU3"/>
      <c r="AV3"/>
      <c r="AW3"/>
      <c r="AX3"/>
      <c r="AY3" s="5"/>
      <c r="AZ3" s="5"/>
      <c r="BA3" s="5"/>
      <c r="BB3" s="5"/>
      <c r="BC3"/>
      <c r="BD3"/>
      <c r="BE3"/>
      <c r="BF3"/>
      <c r="BG3"/>
      <c r="BH3"/>
      <c r="BI3"/>
      <c r="BJ3"/>
      <c r="BK3"/>
      <c r="BL3"/>
      <c r="BM3"/>
      <c r="BN3"/>
    </row>
    <row r="4" spans="1:66" ht="13.5" customHeight="1" x14ac:dyDescent="0.15">
      <c r="A4" s="36"/>
      <c r="B4" s="21"/>
      <c r="C4" s="102"/>
      <c r="D4" s="102"/>
      <c r="E4" s="102"/>
      <c r="F4" s="102"/>
      <c r="G4" s="103"/>
      <c r="H4" s="103"/>
      <c r="I4" s="103"/>
      <c r="J4" s="103"/>
      <c r="K4" s="103"/>
      <c r="L4" s="103"/>
      <c r="M4" s="103"/>
      <c r="N4" s="102"/>
      <c r="O4" s="102"/>
      <c r="P4" s="102"/>
      <c r="Q4" s="102"/>
      <c r="R4" s="113"/>
      <c r="S4" s="113"/>
      <c r="T4" s="113"/>
      <c r="U4" s="113"/>
      <c r="V4" s="113"/>
      <c r="W4" s="113"/>
      <c r="X4" s="113"/>
      <c r="Y4" s="21"/>
      <c r="Z4" s="25"/>
      <c r="AT4"/>
      <c r="AU4"/>
      <c r="AV4"/>
      <c r="AW4"/>
      <c r="AX4"/>
      <c r="BA4" s="5"/>
      <c r="BB4" s="5"/>
      <c r="BC4"/>
      <c r="BD4"/>
      <c r="BE4"/>
      <c r="BF4"/>
      <c r="BK4"/>
      <c r="BL4"/>
      <c r="BM4"/>
      <c r="BN4"/>
    </row>
    <row r="5" spans="1:66" ht="13.5" customHeight="1" x14ac:dyDescent="0.15">
      <c r="A5" s="36"/>
      <c r="B5" s="21"/>
      <c r="C5" s="102" t="s">
        <v>384</v>
      </c>
      <c r="D5" s="102"/>
      <c r="E5" s="102"/>
      <c r="F5" s="102"/>
      <c r="G5" s="103" t="s">
        <v>643</v>
      </c>
      <c r="H5" s="103"/>
      <c r="I5" s="103"/>
      <c r="J5" s="103"/>
      <c r="K5" s="103"/>
      <c r="L5" s="103"/>
      <c r="M5" s="103"/>
      <c r="N5" s="102" t="s">
        <v>385</v>
      </c>
      <c r="O5" s="102"/>
      <c r="P5" s="102"/>
      <c r="Q5" s="102"/>
      <c r="R5" s="113"/>
      <c r="S5" s="113"/>
      <c r="T5" s="113"/>
      <c r="U5" s="113"/>
      <c r="V5" s="113"/>
      <c r="W5" s="113"/>
      <c r="X5" s="113"/>
      <c r="Y5" s="21"/>
      <c r="Z5" s="25"/>
      <c r="AT5"/>
      <c r="AU5"/>
      <c r="AV5"/>
      <c r="AW5"/>
      <c r="AX5"/>
      <c r="BA5" s="5"/>
      <c r="BB5" s="5"/>
      <c r="BC5"/>
      <c r="BD5"/>
      <c r="BK5"/>
      <c r="BL5"/>
      <c r="BM5"/>
      <c r="BN5"/>
    </row>
    <row r="6" spans="1:66" ht="13.5" customHeight="1" x14ac:dyDescent="0.15">
      <c r="A6" s="36"/>
      <c r="B6" s="21"/>
      <c r="C6" s="102"/>
      <c r="D6" s="102"/>
      <c r="E6" s="102"/>
      <c r="F6" s="102"/>
      <c r="G6" s="103"/>
      <c r="H6" s="103"/>
      <c r="I6" s="103"/>
      <c r="J6" s="103"/>
      <c r="K6" s="103"/>
      <c r="L6" s="103"/>
      <c r="M6" s="103"/>
      <c r="N6" s="102"/>
      <c r="O6" s="102"/>
      <c r="P6" s="102"/>
      <c r="Q6" s="102"/>
      <c r="R6" s="113"/>
      <c r="S6" s="113"/>
      <c r="T6" s="113"/>
      <c r="U6" s="113"/>
      <c r="V6" s="113"/>
      <c r="W6" s="113"/>
      <c r="X6" s="113"/>
      <c r="Y6" s="21"/>
      <c r="Z6" s="25"/>
      <c r="AT6"/>
      <c r="AU6"/>
      <c r="AV6"/>
      <c r="AW6"/>
      <c r="AX6"/>
      <c r="BA6" s="5"/>
      <c r="BB6" s="5"/>
      <c r="BC6"/>
      <c r="BD6"/>
      <c r="BK6"/>
      <c r="BL6"/>
      <c r="BM6"/>
      <c r="BN6"/>
    </row>
    <row r="7" spans="1:66" ht="13.5" customHeight="1" x14ac:dyDescent="0.15">
      <c r="A7" s="36"/>
      <c r="B7" s="21"/>
      <c r="C7" s="102" t="s">
        <v>1</v>
      </c>
      <c r="D7" s="102"/>
      <c r="E7" s="102"/>
      <c r="F7" s="102"/>
      <c r="G7" s="103" t="s">
        <v>644</v>
      </c>
      <c r="H7" s="103"/>
      <c r="I7" s="103"/>
      <c r="J7" s="103"/>
      <c r="K7" s="103"/>
      <c r="L7" s="103"/>
      <c r="M7" s="103"/>
      <c r="N7" s="102" t="s">
        <v>302</v>
      </c>
      <c r="O7" s="102"/>
      <c r="P7" s="102"/>
      <c r="Q7" s="102"/>
      <c r="R7" s="113"/>
      <c r="S7" s="113"/>
      <c r="T7" s="113"/>
      <c r="U7" s="113"/>
      <c r="V7" s="113"/>
      <c r="W7" s="113"/>
      <c r="X7" s="113"/>
      <c r="Y7" s="21"/>
      <c r="Z7" s="25"/>
      <c r="AT7"/>
      <c r="AU7"/>
      <c r="AV7"/>
      <c r="AW7"/>
      <c r="AX7"/>
      <c r="BA7" s="5"/>
      <c r="BB7" s="5"/>
      <c r="BC7"/>
      <c r="BD7"/>
      <c r="BM7"/>
      <c r="BN7"/>
    </row>
    <row r="8" spans="1:66" ht="13.5" customHeight="1" x14ac:dyDescent="0.15">
      <c r="A8" s="36"/>
      <c r="B8" s="21"/>
      <c r="C8" s="102"/>
      <c r="D8" s="102"/>
      <c r="E8" s="102"/>
      <c r="F8" s="102"/>
      <c r="G8" s="103"/>
      <c r="H8" s="103"/>
      <c r="I8" s="103"/>
      <c r="J8" s="103"/>
      <c r="K8" s="103"/>
      <c r="L8" s="103"/>
      <c r="M8" s="103"/>
      <c r="N8" s="102"/>
      <c r="O8" s="102"/>
      <c r="P8" s="102"/>
      <c r="Q8" s="102"/>
      <c r="R8" s="113"/>
      <c r="S8" s="113"/>
      <c r="T8" s="113"/>
      <c r="U8" s="113"/>
      <c r="V8" s="113"/>
      <c r="W8" s="113"/>
      <c r="X8" s="113"/>
      <c r="Y8" s="21"/>
      <c r="Z8" s="25"/>
      <c r="AT8"/>
      <c r="AU8"/>
      <c r="AV8"/>
      <c r="AW8"/>
      <c r="AX8"/>
      <c r="BM8"/>
      <c r="BN8"/>
    </row>
    <row r="9" spans="1:66" x14ac:dyDescent="0.15">
      <c r="A9" s="36"/>
      <c r="B9" s="21"/>
      <c r="C9" s="102" t="s">
        <v>296</v>
      </c>
      <c r="D9" s="102"/>
      <c r="E9" s="102"/>
      <c r="F9" s="102"/>
      <c r="G9" s="103" t="s">
        <v>424</v>
      </c>
      <c r="H9" s="103"/>
      <c r="I9" s="103"/>
      <c r="J9" s="103"/>
      <c r="K9" s="103"/>
      <c r="L9" s="103"/>
      <c r="M9" s="103"/>
      <c r="N9" s="103"/>
      <c r="O9" s="103"/>
      <c r="P9" s="103"/>
      <c r="Q9" s="103"/>
      <c r="R9" s="103"/>
      <c r="S9" s="103"/>
      <c r="T9" s="103"/>
      <c r="U9" s="103"/>
      <c r="V9" s="103"/>
      <c r="W9" s="103"/>
      <c r="X9" s="103"/>
      <c r="Y9" s="21"/>
      <c r="Z9" s="25"/>
      <c r="AT9"/>
      <c r="AU9"/>
      <c r="AV9"/>
      <c r="AW9"/>
      <c r="AX9"/>
      <c r="BM9"/>
      <c r="BN9"/>
    </row>
    <row r="10" spans="1:66" x14ac:dyDescent="0.15">
      <c r="A10" s="36"/>
      <c r="B10" s="21"/>
      <c r="C10" s="102"/>
      <c r="D10" s="102"/>
      <c r="E10" s="102"/>
      <c r="F10" s="102"/>
      <c r="G10" s="103"/>
      <c r="H10" s="103"/>
      <c r="I10" s="103"/>
      <c r="J10" s="103"/>
      <c r="K10" s="103"/>
      <c r="L10" s="103"/>
      <c r="M10" s="103"/>
      <c r="N10" s="103"/>
      <c r="O10" s="103"/>
      <c r="P10" s="103"/>
      <c r="Q10" s="103"/>
      <c r="R10" s="103"/>
      <c r="S10" s="103"/>
      <c r="T10" s="103"/>
      <c r="U10" s="103"/>
      <c r="V10" s="103"/>
      <c r="W10" s="103"/>
      <c r="X10" s="103"/>
      <c r="Y10" s="21"/>
      <c r="Z10" s="25"/>
      <c r="AT10"/>
      <c r="AU10"/>
      <c r="AV10"/>
      <c r="AW10"/>
      <c r="AX10"/>
      <c r="BM10"/>
      <c r="BN10"/>
    </row>
    <row r="11" spans="1:66" ht="20.100000000000001" customHeight="1" x14ac:dyDescent="0.15">
      <c r="A11" s="36"/>
      <c r="B11" s="21"/>
      <c r="C11" s="101" t="str">
        <f>IF(演算S!M6=0,"","警告！作物と作型が一致しません！")</f>
        <v/>
      </c>
      <c r="D11" s="101"/>
      <c r="E11" s="101"/>
      <c r="F11" s="101"/>
      <c r="G11" s="101"/>
      <c r="H11" s="101"/>
      <c r="I11" s="101"/>
      <c r="J11" s="101"/>
      <c r="K11" s="101"/>
      <c r="L11" s="101"/>
      <c r="M11" s="101"/>
      <c r="N11" s="101"/>
      <c r="O11" s="101"/>
      <c r="P11" s="101"/>
      <c r="Q11" s="101"/>
      <c r="R11" s="101"/>
      <c r="S11" s="101"/>
      <c r="T11" s="101"/>
      <c r="U11" s="101"/>
      <c r="V11" s="101"/>
      <c r="W11" s="101"/>
      <c r="X11" s="101"/>
      <c r="Y11" s="21"/>
      <c r="Z11" s="25"/>
      <c r="BM11"/>
      <c r="BN11"/>
    </row>
    <row r="12" spans="1:66" ht="24.75" customHeight="1" x14ac:dyDescent="0.15">
      <c r="A12" s="36"/>
      <c r="B12" s="21"/>
      <c r="C12" s="86" t="s">
        <v>625</v>
      </c>
      <c r="D12" s="86"/>
      <c r="E12" s="86"/>
      <c r="F12" s="86"/>
      <c r="G12" s="86"/>
      <c r="H12" s="86"/>
      <c r="I12" s="86"/>
      <c r="J12" s="86"/>
      <c r="K12" s="86"/>
      <c r="L12" s="86"/>
      <c r="M12" s="86"/>
      <c r="N12" s="86"/>
      <c r="O12" s="86"/>
      <c r="P12" s="86"/>
      <c r="Q12" s="86"/>
      <c r="R12" s="86"/>
      <c r="S12" s="86"/>
      <c r="T12" s="86"/>
      <c r="U12" s="86"/>
      <c r="V12" s="86"/>
      <c r="W12" s="86"/>
      <c r="X12" s="86"/>
      <c r="Y12" s="21"/>
      <c r="Z12" s="25"/>
      <c r="BM12"/>
      <c r="BN12"/>
    </row>
    <row r="13" spans="1:66" ht="20.100000000000001" customHeight="1" x14ac:dyDescent="0.15">
      <c r="A13" s="36"/>
      <c r="B13" s="21"/>
      <c r="C13" s="104" t="s">
        <v>622</v>
      </c>
      <c r="D13" s="105"/>
      <c r="E13" s="105"/>
      <c r="F13" s="85">
        <v>5.8</v>
      </c>
      <c r="G13" s="85"/>
      <c r="H13" s="85"/>
      <c r="I13" s="85"/>
      <c r="J13" s="83" t="s">
        <v>623</v>
      </c>
      <c r="K13" s="84"/>
      <c r="L13" s="84"/>
      <c r="M13" s="84"/>
      <c r="N13" s="89">
        <v>0.6</v>
      </c>
      <c r="O13" s="89"/>
      <c r="P13" s="89"/>
      <c r="Q13" s="89"/>
      <c r="R13" s="83" t="s">
        <v>624</v>
      </c>
      <c r="S13" s="84"/>
      <c r="T13" s="84"/>
      <c r="U13" s="85">
        <v>25</v>
      </c>
      <c r="V13" s="85"/>
      <c r="W13" s="85"/>
      <c r="X13" s="85"/>
      <c r="Y13" s="21"/>
      <c r="Z13" s="25"/>
      <c r="BM13"/>
      <c r="BN13"/>
    </row>
    <row r="14" spans="1:66" ht="17.25" customHeight="1" x14ac:dyDescent="0.15">
      <c r="A14" s="36"/>
      <c r="B14" s="21"/>
      <c r="C14" s="105"/>
      <c r="D14" s="105"/>
      <c r="E14" s="105"/>
      <c r="F14" s="85"/>
      <c r="G14" s="85"/>
      <c r="H14" s="85"/>
      <c r="I14" s="85"/>
      <c r="J14" s="84"/>
      <c r="K14" s="84"/>
      <c r="L14" s="84"/>
      <c r="M14" s="84"/>
      <c r="N14" s="89"/>
      <c r="O14" s="89"/>
      <c r="P14" s="89"/>
      <c r="Q14" s="89"/>
      <c r="R14" s="84"/>
      <c r="S14" s="84"/>
      <c r="T14" s="84"/>
      <c r="U14" s="85"/>
      <c r="V14" s="85"/>
      <c r="W14" s="85"/>
      <c r="X14" s="85"/>
      <c r="Y14" s="21"/>
      <c r="Z14" s="25"/>
      <c r="BM14"/>
      <c r="BN14"/>
    </row>
    <row r="15" spans="1:66" x14ac:dyDescent="0.15">
      <c r="A15" s="36"/>
      <c r="B15" s="21"/>
      <c r="C15" s="93" t="s">
        <v>297</v>
      </c>
      <c r="D15" s="94"/>
      <c r="E15" s="94"/>
      <c r="F15" s="94"/>
      <c r="G15" s="95"/>
      <c r="H15" s="87">
        <v>400</v>
      </c>
      <c r="I15" s="87"/>
      <c r="J15" s="88"/>
      <c r="K15" s="99" t="s">
        <v>404</v>
      </c>
      <c r="L15" s="100"/>
      <c r="M15" s="100"/>
      <c r="N15" s="90" t="s">
        <v>298</v>
      </c>
      <c r="O15" s="90"/>
      <c r="P15" s="90"/>
      <c r="Q15" s="90"/>
      <c r="R15" s="90"/>
      <c r="S15" s="91">
        <v>80</v>
      </c>
      <c r="T15" s="91"/>
      <c r="U15" s="92"/>
      <c r="V15" s="99" t="s">
        <v>404</v>
      </c>
      <c r="W15" s="100"/>
      <c r="X15" s="100"/>
      <c r="Y15" s="21"/>
      <c r="Z15" s="25"/>
      <c r="BM15"/>
      <c r="BN15"/>
    </row>
    <row r="16" spans="1:66" x14ac:dyDescent="0.15">
      <c r="A16" s="36"/>
      <c r="B16" s="21"/>
      <c r="C16" s="96"/>
      <c r="D16" s="97"/>
      <c r="E16" s="97"/>
      <c r="F16" s="97"/>
      <c r="G16" s="98"/>
      <c r="H16" s="87"/>
      <c r="I16" s="87"/>
      <c r="J16" s="88"/>
      <c r="K16" s="99"/>
      <c r="L16" s="100"/>
      <c r="M16" s="100"/>
      <c r="N16" s="90"/>
      <c r="O16" s="90"/>
      <c r="P16" s="90"/>
      <c r="Q16" s="90"/>
      <c r="R16" s="90"/>
      <c r="S16" s="91"/>
      <c r="T16" s="91"/>
      <c r="U16" s="92"/>
      <c r="V16" s="99"/>
      <c r="W16" s="100"/>
      <c r="X16" s="100"/>
      <c r="Y16" s="21"/>
      <c r="Z16" s="25"/>
      <c r="BM16"/>
      <c r="BN16"/>
    </row>
    <row r="17" spans="1:66" x14ac:dyDescent="0.15">
      <c r="A17" s="36"/>
      <c r="B17" s="21"/>
      <c r="C17" s="90" t="s">
        <v>299</v>
      </c>
      <c r="D17" s="90"/>
      <c r="E17" s="90"/>
      <c r="F17" s="90"/>
      <c r="G17" s="90"/>
      <c r="H17" s="91">
        <v>60</v>
      </c>
      <c r="I17" s="91"/>
      <c r="J17" s="92"/>
      <c r="K17" s="99" t="s">
        <v>404</v>
      </c>
      <c r="L17" s="100"/>
      <c r="M17" s="100"/>
      <c r="N17" s="106" t="s">
        <v>300</v>
      </c>
      <c r="O17" s="106"/>
      <c r="P17" s="106"/>
      <c r="Q17" s="106"/>
      <c r="R17" s="106"/>
      <c r="S17" s="91">
        <v>25</v>
      </c>
      <c r="T17" s="91"/>
      <c r="U17" s="92"/>
      <c r="V17" s="99" t="s">
        <v>404</v>
      </c>
      <c r="W17" s="100"/>
      <c r="X17" s="100"/>
      <c r="Y17" s="21"/>
      <c r="Z17" s="25"/>
      <c r="BM17"/>
      <c r="BN17"/>
    </row>
    <row r="18" spans="1:66" x14ac:dyDescent="0.15">
      <c r="A18" s="36"/>
      <c r="B18" s="21"/>
      <c r="C18" s="90"/>
      <c r="D18" s="90"/>
      <c r="E18" s="90"/>
      <c r="F18" s="90"/>
      <c r="G18" s="90"/>
      <c r="H18" s="91"/>
      <c r="I18" s="91"/>
      <c r="J18" s="92"/>
      <c r="K18" s="99"/>
      <c r="L18" s="100"/>
      <c r="M18" s="100"/>
      <c r="N18" s="106"/>
      <c r="O18" s="106"/>
      <c r="P18" s="106"/>
      <c r="Q18" s="106"/>
      <c r="R18" s="106"/>
      <c r="S18" s="91"/>
      <c r="T18" s="91"/>
      <c r="U18" s="92"/>
      <c r="V18" s="99"/>
      <c r="W18" s="100"/>
      <c r="X18" s="100"/>
      <c r="Y18" s="21"/>
      <c r="Z18" s="25"/>
      <c r="BM18"/>
      <c r="BN18"/>
    </row>
    <row r="19" spans="1:66" x14ac:dyDescent="0.15">
      <c r="A19" s="36"/>
      <c r="B19" s="21"/>
      <c r="C19" s="90" t="s">
        <v>301</v>
      </c>
      <c r="D19" s="90"/>
      <c r="E19" s="90"/>
      <c r="F19" s="90"/>
      <c r="G19" s="90"/>
      <c r="H19" s="91">
        <v>15</v>
      </c>
      <c r="I19" s="91"/>
      <c r="J19" s="92"/>
      <c r="K19" s="99" t="s">
        <v>404</v>
      </c>
      <c r="L19" s="100"/>
      <c r="M19" s="100"/>
      <c r="N19" s="189" t="s">
        <v>621</v>
      </c>
      <c r="O19" s="190"/>
      <c r="P19" s="190"/>
      <c r="Q19" s="190"/>
      <c r="R19" s="190"/>
      <c r="S19" s="190"/>
      <c r="T19" s="190"/>
      <c r="U19" s="190"/>
      <c r="V19" s="190"/>
      <c r="W19" s="190"/>
      <c r="X19" s="190"/>
      <c r="Y19" s="21"/>
      <c r="Z19" s="25"/>
      <c r="BM19"/>
      <c r="BN19"/>
    </row>
    <row r="20" spans="1:66" x14ac:dyDescent="0.15">
      <c r="A20" s="36"/>
      <c r="B20" s="21"/>
      <c r="C20" s="90"/>
      <c r="D20" s="90"/>
      <c r="E20" s="90"/>
      <c r="F20" s="90"/>
      <c r="G20" s="90"/>
      <c r="H20" s="91"/>
      <c r="I20" s="91"/>
      <c r="J20" s="92"/>
      <c r="K20" s="99"/>
      <c r="L20" s="100"/>
      <c r="M20" s="100"/>
      <c r="N20" s="191"/>
      <c r="O20" s="192"/>
      <c r="P20" s="192"/>
      <c r="Q20" s="192"/>
      <c r="R20" s="192"/>
      <c r="S20" s="192"/>
      <c r="T20" s="192"/>
      <c r="U20" s="192"/>
      <c r="V20" s="192"/>
      <c r="W20" s="192"/>
      <c r="X20" s="192"/>
      <c r="Y20" s="21"/>
      <c r="Z20" s="25"/>
      <c r="BJ20"/>
      <c r="BK20"/>
    </row>
    <row r="21" spans="1:66" ht="13.5" customHeight="1" x14ac:dyDescent="0.15">
      <c r="A21" s="36"/>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29"/>
      <c r="BJ21"/>
      <c r="BK21"/>
    </row>
    <row r="22" spans="1:66" ht="24.75" thickBot="1" x14ac:dyDescent="0.2">
      <c r="A22" s="36"/>
      <c r="B22" s="21"/>
      <c r="C22" s="117" t="s">
        <v>392</v>
      </c>
      <c r="D22" s="117"/>
      <c r="E22" s="117"/>
      <c r="F22" s="117"/>
      <c r="G22" s="117"/>
      <c r="H22" s="117"/>
      <c r="I22" s="117"/>
      <c r="J22" s="117"/>
      <c r="K22" s="117"/>
      <c r="L22" s="117"/>
      <c r="M22" s="117"/>
      <c r="N22" s="117"/>
      <c r="O22" s="117"/>
      <c r="P22" s="117"/>
      <c r="Q22" s="117"/>
      <c r="R22" s="117"/>
      <c r="S22" s="117"/>
      <c r="T22" s="117"/>
      <c r="U22" s="117"/>
      <c r="V22" s="117"/>
      <c r="W22" s="117"/>
      <c r="X22" s="117"/>
      <c r="Y22" s="21"/>
      <c r="Z22" s="25"/>
      <c r="BJ22"/>
      <c r="BK22"/>
    </row>
    <row r="23" spans="1:66" ht="13.5" customHeight="1" x14ac:dyDescent="0.15">
      <c r="A23" s="36"/>
      <c r="B23" s="132"/>
      <c r="C23" s="133"/>
      <c r="D23" s="134"/>
      <c r="E23" s="167" t="s">
        <v>6</v>
      </c>
      <c r="F23" s="168"/>
      <c r="G23" s="168"/>
      <c r="H23" s="142" t="s">
        <v>7</v>
      </c>
      <c r="I23" s="143"/>
      <c r="J23" s="144"/>
      <c r="K23" s="161"/>
      <c r="L23" s="162"/>
      <c r="M23" s="163"/>
      <c r="N23" s="125" t="s">
        <v>8</v>
      </c>
      <c r="O23" s="126"/>
      <c r="P23" s="126"/>
      <c r="Q23" s="194" t="s">
        <v>114</v>
      </c>
      <c r="R23" s="195"/>
      <c r="S23" s="196"/>
      <c r="T23" s="200" t="s">
        <v>587</v>
      </c>
      <c r="U23" s="201"/>
      <c r="V23" s="201"/>
      <c r="W23" s="201"/>
      <c r="X23" s="201"/>
      <c r="Y23" s="202"/>
      <c r="Z23" s="30"/>
      <c r="BJ23"/>
      <c r="BK23"/>
    </row>
    <row r="24" spans="1:66" x14ac:dyDescent="0.15">
      <c r="A24" s="36"/>
      <c r="B24" s="135"/>
      <c r="C24" s="136"/>
      <c r="D24" s="137"/>
      <c r="E24" s="169"/>
      <c r="F24" s="170"/>
      <c r="G24" s="170"/>
      <c r="H24" s="145"/>
      <c r="I24" s="146"/>
      <c r="J24" s="147"/>
      <c r="K24" s="164"/>
      <c r="L24" s="165"/>
      <c r="M24" s="166"/>
      <c r="N24" s="127"/>
      <c r="O24" s="128"/>
      <c r="P24" s="128"/>
      <c r="Q24" s="197"/>
      <c r="R24" s="198"/>
      <c r="S24" s="199"/>
      <c r="T24" s="203"/>
      <c r="U24" s="204"/>
      <c r="V24" s="204"/>
      <c r="W24" s="204"/>
      <c r="X24" s="204"/>
      <c r="Y24" s="205"/>
      <c r="Z24" s="30"/>
      <c r="BJ24"/>
      <c r="BK24"/>
    </row>
    <row r="25" spans="1:66" ht="10.5" customHeight="1" x14ac:dyDescent="0.15">
      <c r="A25" s="36"/>
      <c r="B25" s="152" t="s">
        <v>399</v>
      </c>
      <c r="C25" s="153"/>
      <c r="D25" s="154"/>
      <c r="E25" s="71"/>
      <c r="F25" s="72"/>
      <c r="G25" s="72"/>
      <c r="H25" s="73"/>
      <c r="I25" s="72"/>
      <c r="J25" s="46"/>
      <c r="K25" s="172" t="s">
        <v>401</v>
      </c>
      <c r="L25" s="173"/>
      <c r="M25" s="173"/>
      <c r="N25" s="71"/>
      <c r="O25" s="72"/>
      <c r="P25" s="72"/>
      <c r="Q25" s="73"/>
      <c r="R25" s="72"/>
      <c r="S25" s="46"/>
      <c r="T25" s="172" t="s">
        <v>401</v>
      </c>
      <c r="U25" s="173"/>
      <c r="V25" s="173"/>
      <c r="W25" s="71"/>
      <c r="X25" s="72"/>
      <c r="Y25" s="82"/>
      <c r="Z25" s="30"/>
      <c r="BJ25"/>
      <c r="BK25"/>
    </row>
    <row r="26" spans="1:66" ht="10.5" customHeight="1" x14ac:dyDescent="0.15">
      <c r="A26" s="36"/>
      <c r="B26" s="131"/>
      <c r="C26" s="130"/>
      <c r="D26" s="155"/>
      <c r="E26" s="74"/>
      <c r="F26" s="75"/>
      <c r="G26" s="39">
        <f>IF($E$32=1,1,0)</f>
        <v>1</v>
      </c>
      <c r="H26" s="45"/>
      <c r="I26" s="75"/>
      <c r="J26" s="41">
        <f>IF(H32=1,1,0)</f>
        <v>1</v>
      </c>
      <c r="K26" s="176"/>
      <c r="L26" s="177"/>
      <c r="M26" s="177"/>
      <c r="N26" s="76"/>
      <c r="O26" s="77"/>
      <c r="P26" s="43">
        <f>IF($N$32&gt;1,1,0)</f>
        <v>1</v>
      </c>
      <c r="Q26" s="78"/>
      <c r="R26" s="77"/>
      <c r="S26" s="42">
        <f>IF(Q32&gt;1,1,0)</f>
        <v>0</v>
      </c>
      <c r="T26" s="174"/>
      <c r="U26" s="175"/>
      <c r="V26" s="175"/>
      <c r="W26" s="74"/>
      <c r="X26" s="75"/>
      <c r="Y26" s="41">
        <f>IF($W32&gt;=13,1,0)</f>
        <v>0</v>
      </c>
      <c r="Z26" s="27"/>
      <c r="BJ26"/>
      <c r="BK26"/>
    </row>
    <row r="27" spans="1:66" ht="10.5" customHeight="1" x14ac:dyDescent="0.15">
      <c r="A27" s="36"/>
      <c r="B27" s="131"/>
      <c r="C27" s="130"/>
      <c r="D27" s="155"/>
      <c r="E27" s="74"/>
      <c r="F27" s="75"/>
      <c r="G27" s="39">
        <f>IF($E$32=1,1,0)</f>
        <v>1</v>
      </c>
      <c r="H27" s="45"/>
      <c r="I27" s="75"/>
      <c r="J27" s="41">
        <f>IF(H32=1,1,0)</f>
        <v>1</v>
      </c>
      <c r="K27" s="159" t="s">
        <v>399</v>
      </c>
      <c r="L27" s="160"/>
      <c r="M27" s="160"/>
      <c r="N27" s="79"/>
      <c r="O27" s="80"/>
      <c r="P27" s="44">
        <f>IF($N$32&gt;1,1,0)</f>
        <v>1</v>
      </c>
      <c r="Q27" s="81"/>
      <c r="R27" s="80"/>
      <c r="S27" s="47">
        <f>IF(Q32&gt;1,1,0)</f>
        <v>0</v>
      </c>
      <c r="T27" s="174"/>
      <c r="U27" s="175"/>
      <c r="V27" s="175"/>
      <c r="W27" s="74"/>
      <c r="X27" s="75"/>
      <c r="Y27" s="41">
        <f>IF($W32&gt;=12,1,0)</f>
        <v>0</v>
      </c>
      <c r="Z27" s="27"/>
      <c r="BJ27"/>
      <c r="BK27"/>
    </row>
    <row r="28" spans="1:66" ht="10.5" customHeight="1" x14ac:dyDescent="0.15">
      <c r="A28" s="36"/>
      <c r="B28" s="131"/>
      <c r="C28" s="130"/>
      <c r="D28" s="155"/>
      <c r="E28" s="74"/>
      <c r="F28" s="75"/>
      <c r="G28" s="39">
        <f>IF($E$32=1,1,0)</f>
        <v>1</v>
      </c>
      <c r="H28" s="45"/>
      <c r="I28" s="75"/>
      <c r="J28" s="41">
        <f>IF(H32=1,1,0)</f>
        <v>1</v>
      </c>
      <c r="K28" s="131"/>
      <c r="L28" s="130"/>
      <c r="M28" s="130"/>
      <c r="N28" s="74"/>
      <c r="O28" s="75"/>
      <c r="P28" s="39">
        <f>IF($N$32&gt;0,1,0)</f>
        <v>1</v>
      </c>
      <c r="Q28" s="45"/>
      <c r="R28" s="75"/>
      <c r="S28" s="41">
        <f>IF(Q32&gt;0,1,0)</f>
        <v>1</v>
      </c>
      <c r="T28" s="174"/>
      <c r="U28" s="175"/>
      <c r="V28" s="175"/>
      <c r="W28" s="74"/>
      <c r="X28" s="75"/>
      <c r="Y28" s="41">
        <f>IF($W32&gt;=11,1,0)</f>
        <v>1</v>
      </c>
      <c r="Z28" s="27"/>
      <c r="BJ28"/>
      <c r="BK28"/>
    </row>
    <row r="29" spans="1:66" ht="10.5" customHeight="1" x14ac:dyDescent="0.15">
      <c r="A29" s="36"/>
      <c r="B29" s="156"/>
      <c r="C29" s="157"/>
      <c r="D29" s="158"/>
      <c r="E29" s="76"/>
      <c r="F29" s="77"/>
      <c r="G29" s="40">
        <f>IF($E$32=1,1,0)</f>
        <v>1</v>
      </c>
      <c r="H29" s="78"/>
      <c r="I29" s="77"/>
      <c r="J29" s="42">
        <f>IF(H32=1,1,0)</f>
        <v>1</v>
      </c>
      <c r="K29" s="156"/>
      <c r="L29" s="157"/>
      <c r="M29" s="157"/>
      <c r="N29" s="76"/>
      <c r="O29" s="77"/>
      <c r="P29" s="40">
        <f>IF($N$32&gt;0,1,0)</f>
        <v>1</v>
      </c>
      <c r="Q29" s="78"/>
      <c r="R29" s="77"/>
      <c r="S29" s="42">
        <f>IF(Q32&gt;0,1,0)</f>
        <v>1</v>
      </c>
      <c r="T29" s="176"/>
      <c r="U29" s="177"/>
      <c r="V29" s="177"/>
      <c r="W29" s="76"/>
      <c r="X29" s="77"/>
      <c r="Y29" s="42">
        <f>IF($W32&gt;=11,1,0)</f>
        <v>1</v>
      </c>
      <c r="Z29" s="27"/>
      <c r="BJ29"/>
      <c r="BK29"/>
    </row>
    <row r="30" spans="1:66" ht="10.5" customHeight="1" x14ac:dyDescent="0.15">
      <c r="A30" s="36"/>
      <c r="B30" s="122" t="s">
        <v>400</v>
      </c>
      <c r="C30" s="123"/>
      <c r="D30" s="123"/>
      <c r="E30" s="74"/>
      <c r="F30" s="75"/>
      <c r="G30" s="39">
        <f>IF($E$32=1,1,0)</f>
        <v>1</v>
      </c>
      <c r="H30" s="45"/>
      <c r="I30" s="75"/>
      <c r="J30" s="41">
        <f>IF(H32=1,1,0)</f>
        <v>1</v>
      </c>
      <c r="K30" s="122" t="s">
        <v>402</v>
      </c>
      <c r="L30" s="123"/>
      <c r="M30" s="123"/>
      <c r="N30" s="74"/>
      <c r="O30" s="75"/>
      <c r="P30" s="39">
        <f>IF($N$32&gt;0,1,0)</f>
        <v>1</v>
      </c>
      <c r="Q30" s="45"/>
      <c r="R30" s="75"/>
      <c r="S30" s="41">
        <f>IF(Q32&gt;0,1,0)</f>
        <v>1</v>
      </c>
      <c r="T30" s="129" t="s">
        <v>403</v>
      </c>
      <c r="U30" s="130"/>
      <c r="V30" s="130"/>
      <c r="W30" s="74"/>
      <c r="X30" s="75"/>
      <c r="Y30" s="41">
        <f>IF($W32&gt;=11,1,0)</f>
        <v>1</v>
      </c>
      <c r="Z30" s="27"/>
      <c r="BJ30"/>
      <c r="BK30"/>
    </row>
    <row r="31" spans="1:66" ht="10.5" customHeight="1" x14ac:dyDescent="0.15">
      <c r="A31" s="36"/>
      <c r="B31" s="124"/>
      <c r="C31" s="123"/>
      <c r="D31" s="123"/>
      <c r="E31" s="74"/>
      <c r="F31" s="75"/>
      <c r="G31" s="48">
        <f>IF(U13="",0,IF(U13&lt;5,0,IF(U13&gt;60,0,IF(H15="",0,1))))</f>
        <v>1</v>
      </c>
      <c r="H31" s="45"/>
      <c r="I31" s="75"/>
      <c r="J31" s="50">
        <f>IF(U13="",0,IF(U13&lt;5,0,IF(U13&gt;60,0,IF(S15="",0,1))))</f>
        <v>1</v>
      </c>
      <c r="K31" s="124"/>
      <c r="L31" s="123"/>
      <c r="M31" s="123"/>
      <c r="N31" s="74"/>
      <c r="O31" s="75"/>
      <c r="P31" s="48">
        <f>IF(U13="",0,IF(U13&lt;5,0,IF(U13&gt;60,0,IF(H17="",0,1))))</f>
        <v>1</v>
      </c>
      <c r="Q31" s="45"/>
      <c r="R31" s="75"/>
      <c r="S31" s="50">
        <f>IF(S17="",0,1)</f>
        <v>1</v>
      </c>
      <c r="T31" s="131"/>
      <c r="U31" s="130"/>
      <c r="V31" s="130"/>
      <c r="W31" s="74"/>
      <c r="X31" s="75"/>
      <c r="Y31" s="51">
        <f>IF(H19="",0,IF($W32&lt;0,0,1))</f>
        <v>1</v>
      </c>
      <c r="Z31" s="27"/>
      <c r="BJ31"/>
      <c r="BK31"/>
    </row>
    <row r="32" spans="1:66" ht="10.5" customHeight="1" x14ac:dyDescent="0.15">
      <c r="A32" s="36"/>
      <c r="B32" s="124"/>
      <c r="C32" s="123"/>
      <c r="D32" s="123"/>
      <c r="E32" s="38">
        <f>演算S!B39</f>
        <v>1</v>
      </c>
      <c r="F32" s="75"/>
      <c r="G32" s="49">
        <f>IF(U13="",0,IF(U13&lt;5,0,IF(U13&gt;60,0,IF(H15="",0,1))))</f>
        <v>1</v>
      </c>
      <c r="H32" s="39">
        <f>演算S!C39</f>
        <v>1</v>
      </c>
      <c r="I32" s="75"/>
      <c r="J32" s="50">
        <f>IF(U13="",0,IF(U13&lt;5,0,IF(U13&gt;60,0,IF(S15="",0,1))))</f>
        <v>1</v>
      </c>
      <c r="K32" s="124"/>
      <c r="L32" s="123"/>
      <c r="M32" s="123"/>
      <c r="N32" s="38">
        <f>演算S!D39</f>
        <v>2</v>
      </c>
      <c r="O32" s="75"/>
      <c r="P32" s="49">
        <f>IF(U13="",0,IF(U13&lt;5,0,IF(U13&gt;60,0,IF(H17="",0,1))))</f>
        <v>1</v>
      </c>
      <c r="Q32" s="39">
        <f>演算S!E39</f>
        <v>1</v>
      </c>
      <c r="R32" s="75"/>
      <c r="S32" s="50">
        <f>IF(S17="",0,1)</f>
        <v>1</v>
      </c>
      <c r="T32" s="131"/>
      <c r="U32" s="130"/>
      <c r="V32" s="130"/>
      <c r="W32" s="38">
        <f>演算S!F34</f>
        <v>11</v>
      </c>
      <c r="X32" s="75"/>
      <c r="Y32" s="52">
        <f>IF(H19="",0,IF($W32&lt;0,0,1))</f>
        <v>1</v>
      </c>
      <c r="Z32" s="27"/>
      <c r="BJ32"/>
      <c r="BK32"/>
    </row>
    <row r="33" spans="1:66" ht="10.5" customHeight="1" x14ac:dyDescent="0.15">
      <c r="A33" s="36"/>
      <c r="B33" s="178" t="s">
        <v>378</v>
      </c>
      <c r="C33" s="179"/>
      <c r="D33" s="179"/>
      <c r="E33" s="118" t="str">
        <f>IF(H15="","未入力",IF(演算S!B39&lt;1,"従来施肥",IF(演算S!B39=1,"補給型","減肥")))</f>
        <v>補給型</v>
      </c>
      <c r="F33" s="118"/>
      <c r="G33" s="118"/>
      <c r="H33" s="118" t="str">
        <f>IF(S15="","未入力",IF(演算S!C39&lt;1,"従来施肥",IF(演算S!C39=1,"補給型","減肥")))</f>
        <v>補給型</v>
      </c>
      <c r="I33" s="118"/>
      <c r="J33" s="119"/>
      <c r="K33" s="148" t="s">
        <v>405</v>
      </c>
      <c r="L33" s="149"/>
      <c r="M33" s="149"/>
      <c r="N33" s="118" t="str">
        <f>IF(H17="","未入力",IF(演算S!D39&lt;1,"従来施肥",IF(演算S!D39=1,"補給型","減肥")))</f>
        <v>減肥</v>
      </c>
      <c r="O33" s="118"/>
      <c r="P33" s="118"/>
      <c r="Q33" s="118" t="str">
        <f>IF(S17="","未入力",IF(演算S!E39&lt;1,"従来施肥",IF(演算S!E39=1,"補給型","減肥")))</f>
        <v>補給型</v>
      </c>
      <c r="R33" s="118"/>
      <c r="S33" s="119"/>
      <c r="T33" s="148"/>
      <c r="U33" s="149"/>
      <c r="V33" s="149"/>
      <c r="W33" s="118" t="str">
        <f>IF(演算S!F34=-1,"判定なし",IF(演算S!F34&gt;=11,"減肥可能","従来施肥"))</f>
        <v>減肥可能</v>
      </c>
      <c r="X33" s="118"/>
      <c r="Y33" s="119"/>
      <c r="Z33" s="63"/>
      <c r="BJ33"/>
      <c r="BK33"/>
    </row>
    <row r="34" spans="1:66" ht="10.5" customHeight="1" thickBot="1" x14ac:dyDescent="0.2">
      <c r="A34" s="36"/>
      <c r="B34" s="180"/>
      <c r="C34" s="181"/>
      <c r="D34" s="181"/>
      <c r="E34" s="120"/>
      <c r="F34" s="120"/>
      <c r="G34" s="120"/>
      <c r="H34" s="120"/>
      <c r="I34" s="120"/>
      <c r="J34" s="121"/>
      <c r="K34" s="150"/>
      <c r="L34" s="151"/>
      <c r="M34" s="151"/>
      <c r="N34" s="120"/>
      <c r="O34" s="120"/>
      <c r="P34" s="120"/>
      <c r="Q34" s="120"/>
      <c r="R34" s="120"/>
      <c r="S34" s="121"/>
      <c r="T34" s="150"/>
      <c r="U34" s="151"/>
      <c r="V34" s="151"/>
      <c r="W34" s="120"/>
      <c r="X34" s="120"/>
      <c r="Y34" s="121"/>
      <c r="Z34" s="31"/>
      <c r="BJ34"/>
      <c r="BK34"/>
    </row>
    <row r="35" spans="1:66" x14ac:dyDescent="0.15">
      <c r="A35" s="36"/>
      <c r="B35" s="138" t="str">
        <f>IF(演算S!F46="目標未満","改良目標未満の項目があるため、土壌改良が必要です。","")</f>
        <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25"/>
      <c r="BJ35"/>
      <c r="BK35"/>
    </row>
    <row r="36" spans="1:66" ht="8.1" customHeight="1" x14ac:dyDescent="0.15">
      <c r="A36" s="36"/>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25"/>
      <c r="BM36"/>
      <c r="BN36"/>
    </row>
    <row r="37" spans="1:66" ht="24.75" thickBot="1" x14ac:dyDescent="0.2">
      <c r="A37" s="36"/>
      <c r="B37" s="21"/>
      <c r="C37" s="115" t="s">
        <v>391</v>
      </c>
      <c r="D37" s="115"/>
      <c r="E37" s="115"/>
      <c r="F37" s="115"/>
      <c r="G37" s="115"/>
      <c r="H37" s="115"/>
      <c r="I37" s="115"/>
      <c r="J37" s="115"/>
      <c r="K37" s="115"/>
      <c r="L37" s="115"/>
      <c r="M37" s="115"/>
      <c r="N37" s="115"/>
      <c r="O37" s="116" t="str">
        <f>IF(G5="野菜","※速効性肥料・標準施肥体系",IF(G5="花き","※速効性肥料・標準施肥体系",""))</f>
        <v>※速効性肥料・標準施肥体系</v>
      </c>
      <c r="P37" s="116"/>
      <c r="Q37" s="116"/>
      <c r="R37" s="116"/>
      <c r="S37" s="116"/>
      <c r="T37" s="116"/>
      <c r="U37" s="116"/>
      <c r="V37" s="116"/>
      <c r="W37" s="116"/>
      <c r="X37" s="116"/>
      <c r="Y37" s="21"/>
      <c r="Z37" s="25"/>
      <c r="BM37"/>
      <c r="BN37"/>
    </row>
    <row r="38" spans="1:66" ht="24" customHeight="1" x14ac:dyDescent="0.15">
      <c r="A38" s="36"/>
      <c r="B38" s="61"/>
      <c r="C38" s="182" t="s">
        <v>6</v>
      </c>
      <c r="D38" s="183"/>
      <c r="E38" s="183"/>
      <c r="F38" s="183"/>
      <c r="G38" s="183"/>
      <c r="H38" s="183"/>
      <c r="I38" s="183"/>
      <c r="J38" s="183"/>
      <c r="K38" s="184" t="s">
        <v>7</v>
      </c>
      <c r="L38" s="185"/>
      <c r="M38" s="185"/>
      <c r="N38" s="185"/>
      <c r="O38" s="185"/>
      <c r="P38" s="185"/>
      <c r="Q38" s="185"/>
      <c r="R38" s="186"/>
      <c r="S38" s="21"/>
      <c r="T38" s="21"/>
      <c r="U38" s="21"/>
      <c r="V38" s="67"/>
      <c r="W38" s="67"/>
      <c r="X38" s="67"/>
      <c r="Y38" s="21"/>
      <c r="Z38" s="25"/>
      <c r="BM38"/>
      <c r="BN38"/>
    </row>
    <row r="39" spans="1:66" ht="24" customHeight="1" thickBot="1" x14ac:dyDescent="0.2">
      <c r="A39" s="36"/>
      <c r="C39" s="140">
        <f>IF(U13="","表示停止",IF(U13&lt;5,"表示停止",IF(U13&gt;60,"表示停止",演算S!B42)))</f>
        <v>18</v>
      </c>
      <c r="D39" s="141"/>
      <c r="E39" s="141"/>
      <c r="F39" s="141"/>
      <c r="G39" s="141"/>
      <c r="H39" s="64"/>
      <c r="I39" s="64" t="s">
        <v>388</v>
      </c>
      <c r="J39" s="64"/>
      <c r="K39" s="140">
        <f>IF(U13="","表示停止",IF(U13&lt;5,"表示停止",IF(U13&gt;60,"表示停止",演算S!C42)))</f>
        <v>5</v>
      </c>
      <c r="L39" s="141"/>
      <c r="M39" s="141"/>
      <c r="N39" s="141"/>
      <c r="O39" s="141"/>
      <c r="P39" s="141" t="s">
        <v>388</v>
      </c>
      <c r="Q39" s="141"/>
      <c r="R39" s="232"/>
      <c r="S39" s="21"/>
      <c r="T39" s="21"/>
      <c r="U39" s="21"/>
      <c r="V39" s="21"/>
      <c r="W39" s="58"/>
      <c r="X39" s="58"/>
      <c r="Y39" s="21"/>
      <c r="Z39" s="25"/>
      <c r="BM39"/>
      <c r="BN39"/>
    </row>
    <row r="40" spans="1:66" ht="24" customHeight="1" x14ac:dyDescent="0.15">
      <c r="A40" s="36"/>
      <c r="B40" s="21"/>
      <c r="C40" s="206" t="s">
        <v>8</v>
      </c>
      <c r="D40" s="207"/>
      <c r="E40" s="207"/>
      <c r="F40" s="207"/>
      <c r="G40" s="207"/>
      <c r="H40" s="207"/>
      <c r="I40" s="207"/>
      <c r="J40" s="207"/>
      <c r="K40" s="229" t="s">
        <v>114</v>
      </c>
      <c r="L40" s="230"/>
      <c r="M40" s="230"/>
      <c r="N40" s="230"/>
      <c r="O40" s="230"/>
      <c r="P40" s="230"/>
      <c r="Q40" s="230"/>
      <c r="R40" s="231"/>
      <c r="S40" s="21"/>
      <c r="T40" s="21"/>
      <c r="U40" s="21"/>
      <c r="V40" s="68"/>
      <c r="W40" s="68"/>
      <c r="X40" s="68"/>
      <c r="Y40" s="21"/>
      <c r="Z40" s="25"/>
      <c r="BM40"/>
      <c r="BN40"/>
    </row>
    <row r="41" spans="1:66" ht="24" customHeight="1" x14ac:dyDescent="0.15">
      <c r="A41" s="36"/>
      <c r="B41" s="21"/>
      <c r="C41" s="210" t="str">
        <f>IF(U13="","表示停止",IF(U13&lt;5,"表示停止",IF(U13&gt;60,"表示停止",IF(演算S!E42="",演算S!D42,CONCATENATE(演算S!D42,"+",演算S!E42)))))</f>
        <v>12+18</v>
      </c>
      <c r="D41" s="211"/>
      <c r="E41" s="211"/>
      <c r="F41" s="211"/>
      <c r="G41" s="211"/>
      <c r="H41" s="211" t="s">
        <v>388</v>
      </c>
      <c r="I41" s="211"/>
      <c r="J41" s="211"/>
      <c r="K41" s="210">
        <f>IF(演算S!G42="",演算S!F42,CONCATENATE(演算S!F42,"+",演算S!G42))</f>
        <v>10</v>
      </c>
      <c r="L41" s="211"/>
      <c r="M41" s="211"/>
      <c r="N41" s="211"/>
      <c r="O41" s="211"/>
      <c r="P41" s="211" t="s">
        <v>386</v>
      </c>
      <c r="Q41" s="211"/>
      <c r="R41" s="228"/>
      <c r="S41" s="21"/>
      <c r="T41" s="21"/>
      <c r="U41" s="21"/>
      <c r="V41" s="21"/>
      <c r="W41" s="58"/>
      <c r="X41" s="58"/>
      <c r="Y41" s="21"/>
      <c r="Z41" s="25"/>
      <c r="BM41"/>
      <c r="BN41"/>
    </row>
    <row r="42" spans="1:66" ht="14.25" customHeight="1" thickBot="1" x14ac:dyDescent="0.2">
      <c r="A42" s="36"/>
      <c r="B42" s="21"/>
      <c r="C42" s="208" t="str">
        <f>IF(演算S!D43=1,"上記目安の50％減肥可能","")</f>
        <v>上記目安の50％減肥可能</v>
      </c>
      <c r="D42" s="209"/>
      <c r="E42" s="209"/>
      <c r="F42" s="209"/>
      <c r="G42" s="209"/>
      <c r="H42" s="209"/>
      <c r="I42" s="209"/>
      <c r="J42" s="209"/>
      <c r="K42" s="225" t="str">
        <f>IF(演算S!F43=1,"上記目安の50％減肥可能","")</f>
        <v/>
      </c>
      <c r="L42" s="226"/>
      <c r="M42" s="226"/>
      <c r="N42" s="226"/>
      <c r="O42" s="226"/>
      <c r="P42" s="226"/>
      <c r="Q42" s="226"/>
      <c r="R42" s="227"/>
      <c r="S42" s="21"/>
      <c r="T42" s="21"/>
      <c r="U42" s="21"/>
      <c r="V42" s="69"/>
      <c r="W42" s="69"/>
      <c r="X42" s="69"/>
      <c r="Y42" s="21"/>
      <c r="Z42" s="25"/>
      <c r="BM42"/>
      <c r="BN42"/>
    </row>
    <row r="43" spans="1:66" ht="18.75" x14ac:dyDescent="0.15">
      <c r="A43" s="36"/>
      <c r="B43" s="21"/>
      <c r="C43" s="223" t="s">
        <v>110</v>
      </c>
      <c r="D43" s="224"/>
      <c r="E43" s="224"/>
      <c r="F43" s="224"/>
      <c r="G43" s="224"/>
      <c r="H43" s="224"/>
      <c r="I43" s="224"/>
      <c r="J43" s="224"/>
      <c r="K43" s="214" t="s">
        <v>12</v>
      </c>
      <c r="L43" s="215"/>
      <c r="M43" s="215"/>
      <c r="N43" s="215"/>
      <c r="O43" s="215"/>
      <c r="P43" s="215"/>
      <c r="Q43" s="215"/>
      <c r="R43" s="216"/>
      <c r="S43" s="70"/>
      <c r="T43" s="70"/>
      <c r="U43" s="70"/>
      <c r="V43" s="70"/>
      <c r="W43" s="70"/>
      <c r="X43" s="70"/>
      <c r="Y43" s="21"/>
      <c r="Z43" s="25"/>
      <c r="BM43"/>
      <c r="BN43"/>
    </row>
    <row r="44" spans="1:66" ht="18.75" x14ac:dyDescent="0.15">
      <c r="A44" s="36"/>
      <c r="B44" s="21"/>
      <c r="C44" s="212" t="str">
        <f>IF(演算S!I42="",演算S!H42,CONCATENATE(演算S!H42,"+",演算S!I42))</f>
        <v>12+18</v>
      </c>
      <c r="D44" s="213"/>
      <c r="E44" s="213"/>
      <c r="F44" s="213"/>
      <c r="G44" s="213"/>
      <c r="H44" s="211" t="s">
        <v>388</v>
      </c>
      <c r="I44" s="211"/>
      <c r="J44" s="211"/>
      <c r="K44" s="217" t="str">
        <f>IF(VLOOKUP(演算S!F6,補給施基!A5:L183,12,FALSE)=0,"",(VLOOKUP(演算S!F6,補給施基!A5:L183,12,FALSE)))</f>
        <v/>
      </c>
      <c r="L44" s="218"/>
      <c r="M44" s="218"/>
      <c r="N44" s="218"/>
      <c r="O44" s="218"/>
      <c r="P44" s="218"/>
      <c r="Q44" s="218"/>
      <c r="R44" s="219"/>
      <c r="S44" s="65"/>
      <c r="T44" s="65"/>
      <c r="U44" s="65"/>
      <c r="V44" s="65"/>
      <c r="W44" s="65"/>
      <c r="X44" s="65"/>
      <c r="Y44" s="21"/>
      <c r="Z44" s="25"/>
      <c r="BM44"/>
      <c r="BN44"/>
    </row>
    <row r="45" spans="1:66" ht="14.25" customHeight="1" thickBot="1" x14ac:dyDescent="0.2">
      <c r="A45" s="36"/>
      <c r="C45" s="187" t="str">
        <f>IF(演算S!F34&lt;=1,"通常施肥",IF(演算S!F34=11,"上記目安より5kg/10a程度減肥可能",IF(演算S!F34=12,"上記目安より10kg/10a程度減肥可能",IF(演算S!F34=13,"上記目安より15kg/10a程度減肥可能",IF(演算S!F34=14,"上記目安より20kg/10a程度減肥可能",IF(演算S!F34=15,"上記目安より25kg/10a程度減肥可能","無施肥可能"))))))</f>
        <v>上記目安より5kg/10a程度減肥可能</v>
      </c>
      <c r="D45" s="188"/>
      <c r="E45" s="188"/>
      <c r="F45" s="188"/>
      <c r="G45" s="188"/>
      <c r="H45" s="188"/>
      <c r="I45" s="188"/>
      <c r="J45" s="188"/>
      <c r="K45" s="220"/>
      <c r="L45" s="221"/>
      <c r="M45" s="221"/>
      <c r="N45" s="221"/>
      <c r="O45" s="221"/>
      <c r="P45" s="221"/>
      <c r="Q45" s="221"/>
      <c r="R45" s="222"/>
      <c r="S45" s="65"/>
      <c r="T45" s="65"/>
      <c r="U45" s="65"/>
      <c r="V45" s="65"/>
      <c r="W45" s="65"/>
      <c r="X45" s="65"/>
      <c r="Y45" s="66"/>
      <c r="Z45" s="25"/>
      <c r="BM45"/>
      <c r="BN45"/>
    </row>
    <row r="46" spans="1:66" ht="9" customHeight="1" x14ac:dyDescent="0.15">
      <c r="A46" s="36"/>
      <c r="B46" s="61"/>
      <c r="C46" s="58"/>
      <c r="D46" s="58"/>
      <c r="E46" s="58"/>
      <c r="F46" s="21"/>
      <c r="G46" s="58"/>
      <c r="H46" s="58"/>
      <c r="I46" s="58"/>
      <c r="J46" s="21"/>
      <c r="K46" s="58"/>
      <c r="L46" s="58"/>
      <c r="M46" s="21"/>
      <c r="N46" s="21"/>
      <c r="O46" s="62"/>
      <c r="P46" s="62"/>
      <c r="Q46" s="62"/>
      <c r="R46" s="21"/>
      <c r="S46" s="58"/>
      <c r="T46" s="58"/>
      <c r="U46" s="58"/>
      <c r="V46" s="21"/>
      <c r="W46" s="58"/>
      <c r="X46" s="58"/>
      <c r="Y46" s="58"/>
      <c r="Z46" s="25"/>
      <c r="BM46"/>
      <c r="BN46"/>
    </row>
    <row r="47" spans="1:66" ht="18.75" customHeight="1" x14ac:dyDescent="0.15">
      <c r="A47" s="36"/>
      <c r="C47" s="171" t="s">
        <v>639</v>
      </c>
      <c r="D47" s="171"/>
      <c r="E47" s="171"/>
      <c r="F47" s="90"/>
      <c r="G47" s="90"/>
      <c r="H47" s="90"/>
      <c r="I47" s="90"/>
      <c r="J47" s="90"/>
      <c r="K47" s="90"/>
      <c r="L47" s="90"/>
      <c r="M47" s="90"/>
      <c r="N47" s="90"/>
      <c r="O47" s="90"/>
      <c r="P47" s="90"/>
      <c r="Q47" s="90"/>
      <c r="R47" s="90"/>
      <c r="S47" s="90"/>
      <c r="T47" s="90"/>
      <c r="U47" s="90"/>
      <c r="V47" s="90"/>
      <c r="W47" s="90"/>
      <c r="X47" s="90"/>
      <c r="Y47" s="59"/>
      <c r="Z47" s="25"/>
      <c r="BM47"/>
      <c r="BN47"/>
    </row>
    <row r="48" spans="1:66" ht="30" customHeight="1" x14ac:dyDescent="0.15">
      <c r="A48" s="36"/>
      <c r="B48" s="55"/>
      <c r="C48" s="171"/>
      <c r="D48" s="171"/>
      <c r="E48" s="171"/>
      <c r="F48" s="90"/>
      <c r="G48" s="90"/>
      <c r="H48" s="90"/>
      <c r="I48" s="90"/>
      <c r="J48" s="90"/>
      <c r="K48" s="90"/>
      <c r="L48" s="90"/>
      <c r="M48" s="90"/>
      <c r="N48" s="90"/>
      <c r="O48" s="90"/>
      <c r="P48" s="90"/>
      <c r="Q48" s="90"/>
      <c r="R48" s="90"/>
      <c r="S48" s="90"/>
      <c r="T48" s="90"/>
      <c r="U48" s="90"/>
      <c r="V48" s="90"/>
      <c r="W48" s="90"/>
      <c r="X48" s="90"/>
      <c r="Y48" s="56"/>
      <c r="Z48" s="25"/>
      <c r="BM48"/>
      <c r="BN48"/>
    </row>
    <row r="49" spans="1:66" x14ac:dyDescent="0.15">
      <c r="A49" s="37"/>
      <c r="B49" s="23"/>
      <c r="C49" s="23"/>
      <c r="D49" s="23"/>
      <c r="E49" s="23"/>
      <c r="F49" s="23"/>
      <c r="G49" s="23"/>
      <c r="H49" s="23"/>
      <c r="I49" s="23"/>
      <c r="J49" s="23"/>
      <c r="K49" s="23"/>
      <c r="L49" s="23"/>
      <c r="M49" s="24">
        <f>演算S!F34</f>
        <v>11</v>
      </c>
      <c r="N49" s="114" t="s">
        <v>393</v>
      </c>
      <c r="O49" s="114"/>
      <c r="P49" s="114"/>
      <c r="Q49" s="114"/>
      <c r="R49" s="114"/>
      <c r="S49" s="114"/>
      <c r="T49" s="114"/>
      <c r="U49" s="114"/>
      <c r="V49" s="114"/>
      <c r="W49" s="114"/>
      <c r="X49" s="114"/>
      <c r="Y49" s="114"/>
      <c r="Z49" s="26"/>
      <c r="BM49"/>
      <c r="BN49"/>
    </row>
    <row r="50" spans="1:66" x14ac:dyDescent="0.1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BM50"/>
      <c r="BN50"/>
    </row>
    <row r="51" spans="1:66" x14ac:dyDescent="0.15">
      <c r="BM51"/>
      <c r="BN51"/>
    </row>
    <row r="52" spans="1:66" x14ac:dyDescent="0.15">
      <c r="BM52"/>
      <c r="BN52"/>
    </row>
    <row r="53" spans="1:66" x14ac:dyDescent="0.15">
      <c r="BM53"/>
      <c r="BN53"/>
    </row>
    <row r="54" spans="1:66" hidden="1" x14ac:dyDescent="0.15">
      <c r="BM54"/>
      <c r="BN54"/>
    </row>
    <row r="55" spans="1:66" hidden="1" x14ac:dyDescent="0.15">
      <c r="BM55"/>
      <c r="BN55"/>
    </row>
    <row r="56" spans="1:66" hidden="1" x14ac:dyDescent="0.15">
      <c r="AA56" s="1" t="s">
        <v>303</v>
      </c>
      <c r="BM56"/>
      <c r="BN56"/>
    </row>
    <row r="57" spans="1:66" hidden="1" x14ac:dyDescent="0.15">
      <c r="AA57" s="1" t="s">
        <v>317</v>
      </c>
      <c r="AB57" s="1" t="s">
        <v>295</v>
      </c>
      <c r="AC57" s="1" t="s">
        <v>313</v>
      </c>
      <c r="AD57" s="1" t="s">
        <v>307</v>
      </c>
      <c r="AE57" s="1" t="s">
        <v>327</v>
      </c>
      <c r="AF57" s="1" t="s">
        <v>326</v>
      </c>
      <c r="AG57" s="1" t="s">
        <v>309</v>
      </c>
      <c r="AH57" s="1" t="s">
        <v>324</v>
      </c>
      <c r="AI57" s="1" t="s">
        <v>325</v>
      </c>
      <c r="AJ57" s="1" t="s">
        <v>310</v>
      </c>
      <c r="AK57" s="1" t="s">
        <v>328</v>
      </c>
      <c r="AL57" s="1" t="s">
        <v>1</v>
      </c>
      <c r="AM57" s="1" t="s">
        <v>329</v>
      </c>
      <c r="AN57" s="1" t="s">
        <v>360</v>
      </c>
      <c r="AO57" s="1" t="s">
        <v>312</v>
      </c>
      <c r="AP57" s="1" t="s">
        <v>330</v>
      </c>
      <c r="AR57" s="1" t="s">
        <v>311</v>
      </c>
      <c r="BM57"/>
      <c r="BN57"/>
    </row>
    <row r="58" spans="1:66" hidden="1" x14ac:dyDescent="0.15">
      <c r="AA58" s="1">
        <v>1</v>
      </c>
      <c r="AB58" s="1" t="s">
        <v>304</v>
      </c>
      <c r="AC58" s="1">
        <v>100000</v>
      </c>
      <c r="AD58" s="1" t="s">
        <v>23</v>
      </c>
      <c r="AE58" s="8" t="str">
        <f>VLOOKUP(演算S!$B$6+1,$AK$58:$AP$125,2,FALSE)</f>
        <v>きゅうり</v>
      </c>
      <c r="AF58" s="8" t="b">
        <f>ISTEXT(AE58)</f>
        <v>1</v>
      </c>
      <c r="AG58" s="8" t="str">
        <f>IF(AF58=TRUE,AE58,"")</f>
        <v>きゅうり</v>
      </c>
      <c r="AH58" s="8" t="str">
        <f>VLOOKUP(演算S!$D$6+1,$AP$58:$AQ$236,2,FALSE)</f>
        <v>雨よけ普通栽培</v>
      </c>
      <c r="AI58" s="8" t="b">
        <f>ISTEXT(AH58)</f>
        <v>1</v>
      </c>
      <c r="AJ58" s="8" t="str">
        <f>IF(AI58=TRUE,AH58,"")</f>
        <v>雨よけ普通栽培</v>
      </c>
      <c r="AK58" s="7">
        <v>101</v>
      </c>
      <c r="AL58" t="s">
        <v>22</v>
      </c>
      <c r="AM58" s="10">
        <f>AK58*100</f>
        <v>10100</v>
      </c>
      <c r="AN58" s="10" t="s">
        <v>361</v>
      </c>
      <c r="AO58" s="5" t="s">
        <v>22</v>
      </c>
      <c r="AP58" s="7">
        <v>10101</v>
      </c>
      <c r="AQ58" s="5" t="s">
        <v>407</v>
      </c>
      <c r="AR58" s="11">
        <f>AP58</f>
        <v>10101</v>
      </c>
      <c r="BM58"/>
      <c r="BN58"/>
    </row>
    <row r="59" spans="1:66" hidden="1" x14ac:dyDescent="0.15">
      <c r="AA59" s="1">
        <v>2</v>
      </c>
      <c r="AB59" s="1" t="s">
        <v>305</v>
      </c>
      <c r="AC59" s="1">
        <v>200000</v>
      </c>
      <c r="AD59" s="1" t="s">
        <v>24</v>
      </c>
      <c r="AE59" s="8" t="str">
        <f>VLOOKUP(演算S!$B$6+2,$AK$58:$AP$125,2,FALSE)</f>
        <v>トマト</v>
      </c>
      <c r="AF59" s="8" t="b">
        <f t="shared" ref="AF59:AF95" si="0">ISTEXT(AE59)</f>
        <v>1</v>
      </c>
      <c r="AG59" s="8" t="str">
        <f t="shared" ref="AG59:AG95" si="1">IF(AF59=TRUE,AE59,"")</f>
        <v>トマト</v>
      </c>
      <c r="AH59" s="8" t="str">
        <f>VLOOKUP(演算S!$D$6+2,$AP$58:$AQ$236,2,FALSE)</f>
        <v>ハウス半促成栽培</v>
      </c>
      <c r="AI59" s="8" t="b">
        <f t="shared" ref="AI59:AI73" si="2">ISTEXT(AH59)</f>
        <v>1</v>
      </c>
      <c r="AJ59" s="8" t="str">
        <f t="shared" ref="AJ59:AJ73" si="3">IF(AI59=TRUE,AH59,"")</f>
        <v>ハウス半促成栽培</v>
      </c>
      <c r="AK59" s="7">
        <v>102</v>
      </c>
      <c r="AL59" t="s">
        <v>16</v>
      </c>
      <c r="AM59" s="10">
        <f t="shared" ref="AM59:AM122" si="4">AK59*100</f>
        <v>10200</v>
      </c>
      <c r="AN59" s="10" t="s">
        <v>361</v>
      </c>
      <c r="AO59" s="5" t="s">
        <v>16</v>
      </c>
      <c r="AP59" s="7">
        <v>10201</v>
      </c>
      <c r="AQ59" s="5" t="s">
        <v>408</v>
      </c>
      <c r="AR59" s="11">
        <f t="shared" ref="AR59:AR121" si="5">AP59</f>
        <v>10201</v>
      </c>
      <c r="BM59"/>
      <c r="BN59"/>
    </row>
    <row r="60" spans="1:66" hidden="1" x14ac:dyDescent="0.15">
      <c r="AA60" s="1">
        <v>3</v>
      </c>
      <c r="AB60" s="1" t="s">
        <v>306</v>
      </c>
      <c r="AC60" s="1">
        <v>300000</v>
      </c>
      <c r="AD60" s="1" t="s">
        <v>308</v>
      </c>
      <c r="AE60" s="8" t="str">
        <f>VLOOKUP(演算S!$B$6+3,$AK$58:$AP$125,2,FALSE)</f>
        <v>ミニトマト</v>
      </c>
      <c r="AF60" s="8" t="b">
        <f t="shared" si="0"/>
        <v>1</v>
      </c>
      <c r="AG60" s="8" t="str">
        <f t="shared" si="1"/>
        <v>ミニトマト</v>
      </c>
      <c r="AH60" s="8" t="e">
        <f>VLOOKUP(演算S!$D$6+3,$AP$58:$AQ$236,2,FALSE)</f>
        <v>#N/A</v>
      </c>
      <c r="AI60" s="8" t="b">
        <f t="shared" si="2"/>
        <v>0</v>
      </c>
      <c r="AJ60" s="8" t="str">
        <f t="shared" si="3"/>
        <v/>
      </c>
      <c r="AK60" s="7">
        <v>103</v>
      </c>
      <c r="AL60" t="s">
        <v>17</v>
      </c>
      <c r="AM60" s="10">
        <f t="shared" si="4"/>
        <v>10300</v>
      </c>
      <c r="AN60" s="10" t="s">
        <v>361</v>
      </c>
      <c r="AO60" s="5" t="s">
        <v>16</v>
      </c>
      <c r="AP60" s="7">
        <v>10202</v>
      </c>
      <c r="AQ60" s="5" t="s">
        <v>409</v>
      </c>
      <c r="AR60" s="11">
        <f t="shared" si="5"/>
        <v>10202</v>
      </c>
      <c r="BM60"/>
      <c r="BN60"/>
    </row>
    <row r="61" spans="1:66" hidden="1" x14ac:dyDescent="0.15">
      <c r="AC61" s="1">
        <v>400000</v>
      </c>
      <c r="AD61" s="1" t="s">
        <v>103</v>
      </c>
      <c r="AE61" s="8" t="str">
        <f>VLOOKUP(演算S!$B$6+4,$AK$58:$AP$125,2,FALSE)</f>
        <v>ピーマン</v>
      </c>
      <c r="AF61" s="8" t="b">
        <f t="shared" si="0"/>
        <v>1</v>
      </c>
      <c r="AG61" s="8" t="str">
        <f t="shared" si="1"/>
        <v>ピーマン</v>
      </c>
      <c r="AH61" s="8" t="e">
        <f>VLOOKUP(演算S!$D$6+4,$AP$58:$AQ$236,2,FALSE)</f>
        <v>#N/A</v>
      </c>
      <c r="AI61" s="8" t="b">
        <f t="shared" si="2"/>
        <v>0</v>
      </c>
      <c r="AJ61" s="8" t="str">
        <f t="shared" si="3"/>
        <v/>
      </c>
      <c r="AK61" s="7">
        <v>104</v>
      </c>
      <c r="AL61" t="s">
        <v>18</v>
      </c>
      <c r="AM61" s="10">
        <f t="shared" si="4"/>
        <v>10400</v>
      </c>
      <c r="AN61" s="10" t="s">
        <v>361</v>
      </c>
      <c r="AO61" s="5" t="s">
        <v>16</v>
      </c>
      <c r="AP61" s="7">
        <v>10203</v>
      </c>
      <c r="AQ61" s="5" t="s">
        <v>410</v>
      </c>
      <c r="AR61" s="11">
        <f t="shared" si="5"/>
        <v>10203</v>
      </c>
      <c r="BM61"/>
      <c r="BN61"/>
    </row>
    <row r="62" spans="1:66" hidden="1" x14ac:dyDescent="0.15">
      <c r="AC62" s="1">
        <v>500000</v>
      </c>
      <c r="AD62" s="1" t="s">
        <v>637</v>
      </c>
      <c r="AE62" s="8" t="str">
        <f>VLOOKUP(演算S!$B$6+5,$AK$58:$AP$125,2,FALSE)</f>
        <v>いちご</v>
      </c>
      <c r="AF62" s="8" t="b">
        <f t="shared" si="0"/>
        <v>1</v>
      </c>
      <c r="AG62" s="8" t="str">
        <f t="shared" si="1"/>
        <v>いちご</v>
      </c>
      <c r="AH62" s="8" t="e">
        <f>VLOOKUP(演算S!$D$6+5,$AP$58:$AQ$236,2,FALSE)</f>
        <v>#N/A</v>
      </c>
      <c r="AI62" s="8" t="b">
        <f t="shared" si="2"/>
        <v>0</v>
      </c>
      <c r="AJ62" s="8" t="str">
        <f t="shared" si="3"/>
        <v/>
      </c>
      <c r="AK62" s="7">
        <v>105</v>
      </c>
      <c r="AL62" t="s">
        <v>19</v>
      </c>
      <c r="AM62" s="10">
        <f t="shared" si="4"/>
        <v>10500</v>
      </c>
      <c r="AN62" s="10" t="s">
        <v>361</v>
      </c>
      <c r="AO62" s="5" t="s">
        <v>16</v>
      </c>
      <c r="AP62" s="7">
        <v>10204</v>
      </c>
      <c r="AQ62" s="5" t="s">
        <v>411</v>
      </c>
      <c r="AR62" s="11">
        <f t="shared" si="5"/>
        <v>10204</v>
      </c>
      <c r="BM62"/>
      <c r="BN62"/>
    </row>
    <row r="63" spans="1:66" hidden="1" x14ac:dyDescent="0.15">
      <c r="AE63" s="8" t="str">
        <f>VLOOKUP(演算S!$B$6+6,$AK$58:$AP$125,2,FALSE)</f>
        <v>なす</v>
      </c>
      <c r="AF63" s="8" t="b">
        <f t="shared" si="0"/>
        <v>1</v>
      </c>
      <c r="AG63" s="8" t="str">
        <f t="shared" si="1"/>
        <v>なす</v>
      </c>
      <c r="AH63" s="8" t="e">
        <f>VLOOKUP(演算S!$D$6+6,$AP$58:$AQ$236,2,FALSE)</f>
        <v>#N/A</v>
      </c>
      <c r="AI63" s="8" t="b">
        <f t="shared" si="2"/>
        <v>0</v>
      </c>
      <c r="AJ63" s="8" t="str">
        <f t="shared" si="3"/>
        <v/>
      </c>
      <c r="AK63" s="7">
        <v>106</v>
      </c>
      <c r="AL63" t="s">
        <v>20</v>
      </c>
      <c r="AM63" s="10">
        <f t="shared" si="4"/>
        <v>10600</v>
      </c>
      <c r="AN63" s="10" t="s">
        <v>361</v>
      </c>
      <c r="AO63" s="5" t="s">
        <v>16</v>
      </c>
      <c r="AP63" s="7">
        <v>10205</v>
      </c>
      <c r="AQ63" s="5" t="s">
        <v>412</v>
      </c>
      <c r="AR63" s="11">
        <f t="shared" si="5"/>
        <v>10205</v>
      </c>
      <c r="BM63"/>
      <c r="BN63"/>
    </row>
    <row r="64" spans="1:66" hidden="1" x14ac:dyDescent="0.15">
      <c r="AE64" s="8" t="str">
        <f>VLOOKUP(演算S!$B$6+7,$AK$58:$AP$125,2,FALSE)</f>
        <v>すいか</v>
      </c>
      <c r="AF64" s="8" t="b">
        <f t="shared" si="0"/>
        <v>1</v>
      </c>
      <c r="AG64" s="8" t="str">
        <f t="shared" si="1"/>
        <v>すいか</v>
      </c>
      <c r="AH64" s="8" t="e">
        <f>VLOOKUP(演算S!$D$6+7,$AP$58:$AQ$236,2,FALSE)</f>
        <v>#N/A</v>
      </c>
      <c r="AI64" s="8" t="b">
        <f t="shared" si="2"/>
        <v>0</v>
      </c>
      <c r="AJ64" s="8" t="str">
        <f t="shared" si="3"/>
        <v/>
      </c>
      <c r="AK64" s="7">
        <v>107</v>
      </c>
      <c r="AL64" t="s">
        <v>21</v>
      </c>
      <c r="AM64" s="10">
        <f t="shared" si="4"/>
        <v>10700</v>
      </c>
      <c r="AN64" s="10" t="s">
        <v>361</v>
      </c>
      <c r="AO64" t="s">
        <v>17</v>
      </c>
      <c r="AP64" s="7">
        <v>10301</v>
      </c>
      <c r="AQ64" t="s">
        <v>413</v>
      </c>
      <c r="AR64" s="11">
        <f t="shared" si="5"/>
        <v>10301</v>
      </c>
      <c r="BM64"/>
      <c r="BN64"/>
    </row>
    <row r="65" spans="31:66" hidden="1" x14ac:dyDescent="0.15">
      <c r="AE65" s="8" t="str">
        <f>VLOOKUP(演算S!$B$6+8,$AK$58:$AP$125,2,FALSE)</f>
        <v>メロン</v>
      </c>
      <c r="AF65" s="8" t="b">
        <f t="shared" si="0"/>
        <v>1</v>
      </c>
      <c r="AG65" s="8" t="str">
        <f t="shared" si="1"/>
        <v>メロン</v>
      </c>
      <c r="AH65" s="8" t="e">
        <f>VLOOKUP(演算S!$D$6+8,$AP$58:$AQ$236,2,FALSE)</f>
        <v>#N/A</v>
      </c>
      <c r="AI65" s="8" t="b">
        <f t="shared" si="2"/>
        <v>0</v>
      </c>
      <c r="AJ65" s="8" t="str">
        <f t="shared" si="3"/>
        <v/>
      </c>
      <c r="AK65" s="7">
        <v>201</v>
      </c>
      <c r="AL65" t="s">
        <v>30</v>
      </c>
      <c r="AM65" s="10">
        <f t="shared" si="4"/>
        <v>20100</v>
      </c>
      <c r="AN65" s="10" t="s">
        <v>361</v>
      </c>
      <c r="AO65" t="s">
        <v>17</v>
      </c>
      <c r="AP65" s="7">
        <v>10302</v>
      </c>
      <c r="AQ65" t="s">
        <v>414</v>
      </c>
      <c r="AR65" s="11">
        <f t="shared" si="5"/>
        <v>10302</v>
      </c>
      <c r="BM65"/>
      <c r="BN65"/>
    </row>
    <row r="66" spans="31:66" hidden="1" x14ac:dyDescent="0.15">
      <c r="AE66" s="8" t="str">
        <f>VLOOKUP(演算S!$B$6+9,$AK$58:$AP$125,2,FALSE)</f>
        <v>短根にんじん</v>
      </c>
      <c r="AF66" s="8" t="b">
        <f t="shared" si="0"/>
        <v>1</v>
      </c>
      <c r="AG66" s="8" t="str">
        <f t="shared" si="1"/>
        <v>短根にんじん</v>
      </c>
      <c r="AH66" s="8" t="e">
        <f>VLOOKUP(演算S!$D$6+9,$AP$58:$AQ$236,2,FALSE)</f>
        <v>#N/A</v>
      </c>
      <c r="AI66" s="8" t="b">
        <f t="shared" si="2"/>
        <v>0</v>
      </c>
      <c r="AJ66" s="8" t="str">
        <f t="shared" si="3"/>
        <v/>
      </c>
      <c r="AK66" s="7">
        <v>202</v>
      </c>
      <c r="AL66" t="s">
        <v>31</v>
      </c>
      <c r="AM66" s="10">
        <f t="shared" si="4"/>
        <v>20200</v>
      </c>
      <c r="AN66" s="10" t="s">
        <v>361</v>
      </c>
      <c r="AO66" t="s">
        <v>17</v>
      </c>
      <c r="AP66" s="1">
        <v>10303</v>
      </c>
      <c r="AQ66" t="s">
        <v>415</v>
      </c>
      <c r="AR66" s="11">
        <f t="shared" si="5"/>
        <v>10303</v>
      </c>
      <c r="BM66"/>
      <c r="BN66"/>
    </row>
    <row r="67" spans="31:66" hidden="1" x14ac:dyDescent="0.15">
      <c r="AE67" s="8" t="str">
        <f>VLOOKUP(演算S!$B$6+10,$AK$58:$AP$199,2,FALSE)</f>
        <v>だいこん</v>
      </c>
      <c r="AF67" s="8" t="b">
        <f t="shared" si="0"/>
        <v>1</v>
      </c>
      <c r="AG67" s="8" t="str">
        <f t="shared" si="1"/>
        <v>だいこん</v>
      </c>
      <c r="AH67" s="8" t="e">
        <f>VLOOKUP(演算S!$D$6+10,$AP$58:$AQ$236,2,FALSE)</f>
        <v>#N/A</v>
      </c>
      <c r="AI67" s="8" t="b">
        <f t="shared" si="2"/>
        <v>0</v>
      </c>
      <c r="AJ67" s="8" t="str">
        <f t="shared" si="3"/>
        <v/>
      </c>
      <c r="AK67" s="7">
        <v>203</v>
      </c>
      <c r="AL67" t="s">
        <v>32</v>
      </c>
      <c r="AM67" s="10">
        <f t="shared" si="4"/>
        <v>20300</v>
      </c>
      <c r="AN67" s="10" t="s">
        <v>361</v>
      </c>
      <c r="AO67" t="s">
        <v>17</v>
      </c>
      <c r="AP67" s="1">
        <v>10304</v>
      </c>
      <c r="AQ67" t="s">
        <v>416</v>
      </c>
      <c r="AR67" s="11">
        <f t="shared" si="5"/>
        <v>10304</v>
      </c>
      <c r="BM67"/>
      <c r="BN67"/>
    </row>
    <row r="68" spans="31:66" hidden="1" x14ac:dyDescent="0.15">
      <c r="AE68" s="8" t="str">
        <f>VLOOKUP(演算S!$B$6+11,$AK$58:$AP$125,2,FALSE)</f>
        <v>ごぼう</v>
      </c>
      <c r="AF68" s="8" t="b">
        <f t="shared" si="0"/>
        <v>1</v>
      </c>
      <c r="AG68" s="8" t="str">
        <f t="shared" si="1"/>
        <v>ごぼう</v>
      </c>
      <c r="AH68" s="8" t="e">
        <f>VLOOKUP(演算S!$D$6+11,$AP$58:$AQ$236,2,FALSE)</f>
        <v>#N/A</v>
      </c>
      <c r="AI68" s="8" t="b">
        <f t="shared" si="2"/>
        <v>0</v>
      </c>
      <c r="AJ68" s="8" t="str">
        <f t="shared" si="3"/>
        <v/>
      </c>
      <c r="AK68" s="7">
        <v>204</v>
      </c>
      <c r="AL68" t="s">
        <v>34</v>
      </c>
      <c r="AM68" s="10">
        <f t="shared" si="4"/>
        <v>20400</v>
      </c>
      <c r="AN68" s="10" t="s">
        <v>361</v>
      </c>
      <c r="AO68" t="s">
        <v>17</v>
      </c>
      <c r="AP68" s="1">
        <v>10305</v>
      </c>
      <c r="AQ68" t="s">
        <v>417</v>
      </c>
      <c r="AR68" s="11">
        <f t="shared" si="5"/>
        <v>10305</v>
      </c>
      <c r="BM68"/>
      <c r="BN68"/>
    </row>
    <row r="69" spans="31:66" hidden="1" x14ac:dyDescent="0.15">
      <c r="AE69" s="8" t="str">
        <f>VLOOKUP(演算S!$B$6+12,$AK$58:$AP$125,2,FALSE)</f>
        <v>ながいも</v>
      </c>
      <c r="AF69" s="8" t="b">
        <f t="shared" si="0"/>
        <v>1</v>
      </c>
      <c r="AG69" s="8" t="str">
        <f t="shared" si="1"/>
        <v>ながいも</v>
      </c>
      <c r="AH69" s="8" t="e">
        <f>VLOOKUP(演算S!$D$6+12,$AP$58:$AQ$236,2,FALSE)</f>
        <v>#N/A</v>
      </c>
      <c r="AI69" s="8" t="b">
        <f t="shared" si="2"/>
        <v>0</v>
      </c>
      <c r="AJ69" s="8" t="str">
        <f t="shared" si="3"/>
        <v/>
      </c>
      <c r="AK69" s="7">
        <v>205</v>
      </c>
      <c r="AL69" t="s">
        <v>35</v>
      </c>
      <c r="AM69" s="10">
        <f t="shared" si="4"/>
        <v>20500</v>
      </c>
      <c r="AN69" s="10" t="s">
        <v>361</v>
      </c>
      <c r="AO69" t="s">
        <v>118</v>
      </c>
      <c r="AP69" s="1">
        <v>10401</v>
      </c>
      <c r="AQ69" t="s">
        <v>418</v>
      </c>
      <c r="AR69" s="11">
        <f t="shared" si="5"/>
        <v>10401</v>
      </c>
      <c r="BM69"/>
      <c r="BN69"/>
    </row>
    <row r="70" spans="31:66" hidden="1" x14ac:dyDescent="0.15">
      <c r="AE70" s="8" t="str">
        <f>VLOOKUP(演算S!$B$6+13,$AK$58:$AP$125,2,FALSE)</f>
        <v>さといも</v>
      </c>
      <c r="AF70" s="8" t="b">
        <f t="shared" si="0"/>
        <v>1</v>
      </c>
      <c r="AG70" s="8" t="str">
        <f t="shared" si="1"/>
        <v>さといも</v>
      </c>
      <c r="AH70" s="8" t="e">
        <f>VLOOKUP(演算S!$D$6+13,$AP$58:$AQ$236,2,FALSE)</f>
        <v>#N/A</v>
      </c>
      <c r="AI70" s="8" t="b">
        <f t="shared" si="2"/>
        <v>0</v>
      </c>
      <c r="AJ70" s="8" t="str">
        <f t="shared" si="3"/>
        <v/>
      </c>
      <c r="AK70" s="7">
        <v>206</v>
      </c>
      <c r="AL70" t="s">
        <v>33</v>
      </c>
      <c r="AM70" s="10">
        <f t="shared" si="4"/>
        <v>20600</v>
      </c>
      <c r="AN70" s="10" t="s">
        <v>361</v>
      </c>
      <c r="AO70" t="s">
        <v>118</v>
      </c>
      <c r="AP70" s="1">
        <v>10402</v>
      </c>
      <c r="AQ70" t="s">
        <v>419</v>
      </c>
      <c r="AR70" s="11">
        <f t="shared" si="5"/>
        <v>10402</v>
      </c>
      <c r="BM70"/>
      <c r="BN70"/>
    </row>
    <row r="71" spans="31:66" hidden="1" x14ac:dyDescent="0.15">
      <c r="AE71" s="8" t="str">
        <f>VLOOKUP(演算S!$B$6+14,$AK$58:$AP$125,2,FALSE)</f>
        <v>ばれいしょ</v>
      </c>
      <c r="AF71" s="8" t="b">
        <f t="shared" si="0"/>
        <v>1</v>
      </c>
      <c r="AG71" s="8" t="str">
        <f t="shared" si="1"/>
        <v>ばれいしょ</v>
      </c>
      <c r="AH71" s="8" t="e">
        <f>VLOOKUP(演算S!$D$6+14,$AP$58:$AQ$236,2,FALSE)</f>
        <v>#N/A</v>
      </c>
      <c r="AI71" s="8" t="b">
        <f t="shared" si="2"/>
        <v>0</v>
      </c>
      <c r="AJ71" s="8" t="str">
        <f t="shared" si="3"/>
        <v/>
      </c>
      <c r="AK71" s="7">
        <v>207</v>
      </c>
      <c r="AL71" t="s">
        <v>36</v>
      </c>
      <c r="AM71" s="10">
        <f t="shared" si="4"/>
        <v>20700</v>
      </c>
      <c r="AN71" s="10" t="s">
        <v>361</v>
      </c>
      <c r="AO71" t="s">
        <v>19</v>
      </c>
      <c r="AP71" s="1">
        <v>10501</v>
      </c>
      <c r="AQ71" t="s">
        <v>420</v>
      </c>
      <c r="AR71" s="11">
        <f t="shared" si="5"/>
        <v>10501</v>
      </c>
      <c r="BM71"/>
      <c r="BN71"/>
    </row>
    <row r="72" spans="31:66" hidden="1" x14ac:dyDescent="0.15">
      <c r="AE72" s="8" t="str">
        <f>VLOOKUP(演算S!$B$6+15,$AK$58:$AP$125,2,FALSE)</f>
        <v>にんにく</v>
      </c>
      <c r="AF72" s="8" t="b">
        <f t="shared" si="0"/>
        <v>1</v>
      </c>
      <c r="AG72" s="8" t="str">
        <f t="shared" si="1"/>
        <v>にんにく</v>
      </c>
      <c r="AH72" s="8" t="e">
        <f>VLOOKUP(演算S!$D$6+15,$AP$58:$AQ$236,2,FALSE)</f>
        <v>#N/A</v>
      </c>
      <c r="AI72" s="8" t="b">
        <f t="shared" si="2"/>
        <v>0</v>
      </c>
      <c r="AJ72" s="8" t="str">
        <f t="shared" si="3"/>
        <v/>
      </c>
      <c r="AK72" s="7">
        <v>208</v>
      </c>
      <c r="AL72" t="s">
        <v>38</v>
      </c>
      <c r="AM72" s="10">
        <f t="shared" si="4"/>
        <v>20800</v>
      </c>
      <c r="AN72" s="10" t="s">
        <v>361</v>
      </c>
      <c r="AO72" t="s">
        <v>119</v>
      </c>
      <c r="AP72" s="1">
        <v>10601</v>
      </c>
      <c r="AQ72" t="s">
        <v>421</v>
      </c>
      <c r="AR72" s="11">
        <f t="shared" si="5"/>
        <v>10601</v>
      </c>
      <c r="BM72"/>
      <c r="BN72"/>
    </row>
    <row r="73" spans="31:66" hidden="1" x14ac:dyDescent="0.15">
      <c r="AE73" s="8" t="str">
        <f>VLOOKUP(演算S!$B$6+16,$AK$58:$AP$125,2,FALSE)</f>
        <v>たまねぎ</v>
      </c>
      <c r="AF73" s="8" t="b">
        <f t="shared" si="0"/>
        <v>1</v>
      </c>
      <c r="AG73" s="8" t="str">
        <f t="shared" si="1"/>
        <v>たまねぎ</v>
      </c>
      <c r="AH73" s="8" t="e">
        <f>VLOOKUP(演算S!$D$6+16,$AP$58:$AQ$236,2,FALSE)</f>
        <v>#N/A</v>
      </c>
      <c r="AI73" s="8" t="b">
        <f t="shared" si="2"/>
        <v>0</v>
      </c>
      <c r="AJ73" s="8" t="str">
        <f t="shared" si="3"/>
        <v/>
      </c>
      <c r="AK73" s="7">
        <v>209</v>
      </c>
      <c r="AL73" t="s">
        <v>40</v>
      </c>
      <c r="AM73" s="10">
        <f t="shared" si="4"/>
        <v>20900</v>
      </c>
      <c r="AN73" s="10" t="s">
        <v>362</v>
      </c>
      <c r="AO73" t="s">
        <v>125</v>
      </c>
      <c r="AP73" s="1">
        <v>10701</v>
      </c>
      <c r="AQ73" t="s">
        <v>589</v>
      </c>
      <c r="AR73" s="11">
        <f t="shared" si="5"/>
        <v>10701</v>
      </c>
      <c r="BM73"/>
      <c r="BN73"/>
    </row>
    <row r="74" spans="31:66" hidden="1" x14ac:dyDescent="0.15">
      <c r="AE74" s="8" t="str">
        <f>VLOOKUP(演算S!$B$6+17,$AK$58:$AP$125,2,FALSE)</f>
        <v>キャベツ</v>
      </c>
      <c r="AF74" s="8" t="b">
        <f t="shared" si="0"/>
        <v>1</v>
      </c>
      <c r="AG74" s="8" t="str">
        <f t="shared" si="1"/>
        <v>キャベツ</v>
      </c>
      <c r="AH74" s="9"/>
      <c r="AI74" s="9"/>
      <c r="AJ74" s="9"/>
      <c r="AK74" s="7">
        <v>210</v>
      </c>
      <c r="AL74" t="s">
        <v>39</v>
      </c>
      <c r="AM74" s="10">
        <f t="shared" si="4"/>
        <v>21000</v>
      </c>
      <c r="AN74" s="10" t="s">
        <v>362</v>
      </c>
      <c r="AO74" t="s">
        <v>129</v>
      </c>
      <c r="AP74" s="1">
        <v>10702</v>
      </c>
      <c r="AQ74" t="s">
        <v>591</v>
      </c>
      <c r="AR74" s="11">
        <f t="shared" si="5"/>
        <v>10702</v>
      </c>
      <c r="BM74"/>
      <c r="BN74"/>
    </row>
    <row r="75" spans="31:66" hidden="1" x14ac:dyDescent="0.15">
      <c r="AE75" s="8" t="str">
        <f>VLOOKUP(演算S!$B$6+18,$AK$58:$AP$125,2,FALSE)</f>
        <v>はくさい</v>
      </c>
      <c r="AF75" s="8" t="b">
        <f t="shared" si="0"/>
        <v>1</v>
      </c>
      <c r="AG75" s="8" t="str">
        <f t="shared" si="1"/>
        <v>はくさい</v>
      </c>
      <c r="AH75" s="9"/>
      <c r="AI75" s="9"/>
      <c r="AJ75" s="9"/>
      <c r="AK75" s="7">
        <v>211</v>
      </c>
      <c r="AL75" t="s">
        <v>41</v>
      </c>
      <c r="AM75" s="10">
        <f t="shared" si="4"/>
        <v>21100</v>
      </c>
      <c r="AN75" s="10" t="s">
        <v>361</v>
      </c>
      <c r="AO75" t="s">
        <v>133</v>
      </c>
      <c r="AP75" s="1">
        <v>10703</v>
      </c>
      <c r="AQ75" t="s">
        <v>593</v>
      </c>
      <c r="AR75" s="11">
        <f t="shared" si="5"/>
        <v>10703</v>
      </c>
      <c r="BM75"/>
      <c r="BN75"/>
    </row>
    <row r="76" spans="31:66" hidden="1" x14ac:dyDescent="0.15">
      <c r="AE76" s="8" t="str">
        <f>VLOOKUP(演算S!$B$6+19,$AK$58:$AP$125,2,FALSE)</f>
        <v>レタス</v>
      </c>
      <c r="AF76" s="8" t="b">
        <f t="shared" si="0"/>
        <v>1</v>
      </c>
      <c r="AG76" s="8" t="str">
        <f t="shared" si="1"/>
        <v>レタス</v>
      </c>
      <c r="AH76" s="9"/>
      <c r="AI76" s="9"/>
      <c r="AJ76" s="9"/>
      <c r="AK76" s="7">
        <v>212</v>
      </c>
      <c r="AL76" t="s">
        <v>42</v>
      </c>
      <c r="AM76" s="10">
        <f t="shared" si="4"/>
        <v>21200</v>
      </c>
      <c r="AN76" s="10" t="s">
        <v>361</v>
      </c>
      <c r="AO76" t="s">
        <v>137</v>
      </c>
      <c r="AP76" s="1">
        <v>10704</v>
      </c>
      <c r="AQ76" t="s">
        <v>595</v>
      </c>
      <c r="AR76" s="11">
        <f t="shared" si="5"/>
        <v>10704</v>
      </c>
      <c r="BM76"/>
      <c r="BN76"/>
    </row>
    <row r="77" spans="31:66" hidden="1" x14ac:dyDescent="0.15">
      <c r="AE77" s="8" t="str">
        <f>VLOOKUP(演算S!$B$6+20,$AK$58:$AP$125,2,FALSE)</f>
        <v>リーフレタス</v>
      </c>
      <c r="AF77" s="8" t="b">
        <f t="shared" si="0"/>
        <v>1</v>
      </c>
      <c r="AG77" s="8" t="str">
        <f t="shared" si="1"/>
        <v>リーフレタス</v>
      </c>
      <c r="AH77" s="9"/>
      <c r="AI77" s="9"/>
      <c r="AJ77" s="9"/>
      <c r="AK77" s="7">
        <v>213</v>
      </c>
      <c r="AL77" t="s">
        <v>43</v>
      </c>
      <c r="AM77" s="10">
        <f t="shared" si="4"/>
        <v>21300</v>
      </c>
      <c r="AN77" s="10" t="s">
        <v>361</v>
      </c>
      <c r="AO77" t="s">
        <v>138</v>
      </c>
      <c r="AP77" s="1">
        <v>20101</v>
      </c>
      <c r="AQ77" t="s">
        <v>422</v>
      </c>
      <c r="AR77" s="11">
        <f t="shared" si="5"/>
        <v>20101</v>
      </c>
      <c r="BM77"/>
      <c r="BN77"/>
    </row>
    <row r="78" spans="31:66" hidden="1" x14ac:dyDescent="0.15">
      <c r="AE78" s="8" t="str">
        <f>VLOOKUP(演算S!$B$6+21,$AK$58:$AP$125,2,FALSE)</f>
        <v>ｸﾞﾘｰﾝｱｽﾊﾟﾗｶﾞｽ</v>
      </c>
      <c r="AF78" s="8" t="b">
        <f t="shared" si="0"/>
        <v>1</v>
      </c>
      <c r="AG78" s="8" t="str">
        <f t="shared" si="1"/>
        <v>ｸﾞﾘｰﾝｱｽﾊﾟﾗｶﾞｽ</v>
      </c>
      <c r="AH78" s="9"/>
      <c r="AI78" s="9"/>
      <c r="AJ78" s="9"/>
      <c r="AK78" s="7">
        <v>214</v>
      </c>
      <c r="AL78" t="s">
        <v>26</v>
      </c>
      <c r="AM78" s="10">
        <f t="shared" si="4"/>
        <v>21400</v>
      </c>
      <c r="AN78" s="10" t="s">
        <v>361</v>
      </c>
      <c r="AO78" t="s">
        <v>139</v>
      </c>
      <c r="AP78" s="1">
        <v>20102</v>
      </c>
      <c r="AQ78" t="s">
        <v>423</v>
      </c>
      <c r="AR78" s="11">
        <f t="shared" si="5"/>
        <v>20102</v>
      </c>
      <c r="BM78"/>
      <c r="BN78"/>
    </row>
    <row r="79" spans="31:66" hidden="1" x14ac:dyDescent="0.15">
      <c r="AE79" s="8" t="str">
        <f>VLOOKUP(演算S!$B$6+22,$AK$58:$AP$125,2,FALSE)</f>
        <v>ほうれんそう</v>
      </c>
      <c r="AF79" s="8" t="b">
        <f t="shared" si="0"/>
        <v>1</v>
      </c>
      <c r="AG79" s="8" t="str">
        <f t="shared" si="1"/>
        <v>ほうれんそう</v>
      </c>
      <c r="AH79" s="9"/>
      <c r="AI79" s="9"/>
      <c r="AJ79" s="9"/>
      <c r="AK79" s="7">
        <v>215</v>
      </c>
      <c r="AL79" t="s">
        <v>45</v>
      </c>
      <c r="AM79" s="10">
        <f t="shared" si="4"/>
        <v>21500</v>
      </c>
      <c r="AN79" s="10" t="s">
        <v>361</v>
      </c>
      <c r="AO79" t="s">
        <v>140</v>
      </c>
      <c r="AP79" s="1">
        <v>20201</v>
      </c>
      <c r="AQ79" t="s">
        <v>424</v>
      </c>
      <c r="AR79" s="11">
        <f t="shared" si="5"/>
        <v>20201</v>
      </c>
      <c r="BM79"/>
      <c r="BN79"/>
    </row>
    <row r="80" spans="31:66" hidden="1" x14ac:dyDescent="0.15">
      <c r="AE80" s="8" t="str">
        <f>VLOOKUP(演算S!$B$6+23,$AK$58:$AP$125,2,FALSE)</f>
        <v>ブロッコリー</v>
      </c>
      <c r="AF80" s="8" t="b">
        <f t="shared" si="0"/>
        <v>1</v>
      </c>
      <c r="AG80" s="8" t="str">
        <f t="shared" si="1"/>
        <v>ブロッコリー</v>
      </c>
      <c r="AH80" s="9"/>
      <c r="AI80" s="9"/>
      <c r="AJ80" s="9"/>
      <c r="AK80" s="7">
        <v>216</v>
      </c>
      <c r="AL80" t="s">
        <v>44</v>
      </c>
      <c r="AM80" s="10">
        <f t="shared" si="4"/>
        <v>21600</v>
      </c>
      <c r="AN80" s="10" t="s">
        <v>361</v>
      </c>
      <c r="AO80" t="s">
        <v>141</v>
      </c>
      <c r="AP80" s="1">
        <v>20202</v>
      </c>
      <c r="AQ80" t="s">
        <v>425</v>
      </c>
      <c r="AR80" s="11">
        <f t="shared" si="5"/>
        <v>20202</v>
      </c>
      <c r="BM80"/>
      <c r="BN80"/>
    </row>
    <row r="81" spans="31:66" hidden="1" x14ac:dyDescent="0.15">
      <c r="AE81" s="8" t="str">
        <f>VLOOKUP(演算S!$B$6+24,$AK$58:$AP$125,2,FALSE)</f>
        <v>カリフラワー</v>
      </c>
      <c r="AF81" s="8" t="b">
        <f t="shared" si="0"/>
        <v>1</v>
      </c>
      <c r="AG81" s="8" t="str">
        <f t="shared" si="1"/>
        <v>カリフラワー</v>
      </c>
      <c r="AH81" s="9"/>
      <c r="AI81" s="9"/>
      <c r="AJ81" s="9"/>
      <c r="AK81" s="7">
        <v>217</v>
      </c>
      <c r="AL81" t="s">
        <v>47</v>
      </c>
      <c r="AM81" s="10">
        <f t="shared" si="4"/>
        <v>21700</v>
      </c>
      <c r="AN81" s="10" t="s">
        <v>362</v>
      </c>
      <c r="AO81" t="s">
        <v>142</v>
      </c>
      <c r="AP81" s="1">
        <v>20301</v>
      </c>
      <c r="AQ81" t="s">
        <v>426</v>
      </c>
      <c r="AR81" s="11">
        <f t="shared" si="5"/>
        <v>20301</v>
      </c>
      <c r="BM81"/>
      <c r="BN81"/>
    </row>
    <row r="82" spans="31:66" hidden="1" x14ac:dyDescent="0.15">
      <c r="AE82" s="8" t="str">
        <f>VLOOKUP(演算S!$B$6+25,$AK$58:$AP$125,2,FALSE)</f>
        <v>みつば</v>
      </c>
      <c r="AF82" s="8" t="b">
        <f t="shared" si="0"/>
        <v>1</v>
      </c>
      <c r="AG82" s="8" t="str">
        <f t="shared" si="1"/>
        <v>みつば</v>
      </c>
      <c r="AH82" s="9"/>
      <c r="AI82" s="9"/>
      <c r="AJ82" s="9"/>
      <c r="AK82" s="7">
        <v>218</v>
      </c>
      <c r="AL82" t="s">
        <v>49</v>
      </c>
      <c r="AM82" s="10">
        <f t="shared" si="4"/>
        <v>21800</v>
      </c>
      <c r="AN82" s="10" t="s">
        <v>362</v>
      </c>
      <c r="AO82" t="s">
        <v>143</v>
      </c>
      <c r="AP82" s="1">
        <v>20401</v>
      </c>
      <c r="AQ82" t="s">
        <v>427</v>
      </c>
      <c r="AR82" s="11">
        <f t="shared" si="5"/>
        <v>20401</v>
      </c>
      <c r="BM82"/>
      <c r="BN82"/>
    </row>
    <row r="83" spans="31:66" hidden="1" x14ac:dyDescent="0.15">
      <c r="AE83" s="8" t="str">
        <f>VLOOKUP(演算S!$B$6+26,$AK$58:$AP$125,2,FALSE)</f>
        <v>しゅんぎく</v>
      </c>
      <c r="AF83" s="8" t="b">
        <f t="shared" si="0"/>
        <v>1</v>
      </c>
      <c r="AG83" s="8" t="str">
        <f t="shared" si="1"/>
        <v>しゅんぎく</v>
      </c>
      <c r="AH83" s="9"/>
      <c r="AI83" s="9"/>
      <c r="AJ83" s="9"/>
      <c r="AK83" s="7">
        <v>219</v>
      </c>
      <c r="AL83" t="s">
        <v>50</v>
      </c>
      <c r="AM83" s="10">
        <f t="shared" si="4"/>
        <v>21900</v>
      </c>
      <c r="AN83" s="10" t="s">
        <v>361</v>
      </c>
      <c r="AO83" t="s">
        <v>144</v>
      </c>
      <c r="AP83" s="1">
        <v>20402</v>
      </c>
      <c r="AQ83" t="s">
        <v>428</v>
      </c>
      <c r="AR83" s="11">
        <f t="shared" si="5"/>
        <v>20402</v>
      </c>
      <c r="BM83"/>
      <c r="BN83"/>
    </row>
    <row r="84" spans="31:66" hidden="1" x14ac:dyDescent="0.15">
      <c r="AE84" s="8" t="str">
        <f>VLOOKUP(演算S!$B$6+27,$AK$58:$AP$125,2,FALSE)</f>
        <v>にら</v>
      </c>
      <c r="AF84" s="8" t="b">
        <f t="shared" si="0"/>
        <v>1</v>
      </c>
      <c r="AG84" s="8" t="str">
        <f t="shared" si="1"/>
        <v>にら</v>
      </c>
      <c r="AH84" s="9"/>
      <c r="AI84" s="9"/>
      <c r="AJ84" s="9"/>
      <c r="AK84" s="7">
        <v>220</v>
      </c>
      <c r="AL84" t="s">
        <v>51</v>
      </c>
      <c r="AM84" s="10">
        <f t="shared" si="4"/>
        <v>22000</v>
      </c>
      <c r="AN84" s="10" t="s">
        <v>361</v>
      </c>
      <c r="AO84" t="s">
        <v>145</v>
      </c>
      <c r="AP84" s="1">
        <v>20501</v>
      </c>
      <c r="AQ84" t="s">
        <v>519</v>
      </c>
      <c r="AR84" s="11">
        <f t="shared" si="5"/>
        <v>20501</v>
      </c>
      <c r="BM84"/>
      <c r="BN84"/>
    </row>
    <row r="85" spans="31:66" hidden="1" x14ac:dyDescent="0.15">
      <c r="AE85" s="8" t="str">
        <f>VLOOKUP(演算S!$B$6+28,$AK$58:$AP$125,2,FALSE)</f>
        <v>ねぎ</v>
      </c>
      <c r="AF85" s="8" t="b">
        <f t="shared" si="0"/>
        <v>1</v>
      </c>
      <c r="AG85" s="8" t="str">
        <f t="shared" si="1"/>
        <v>ねぎ</v>
      </c>
      <c r="AH85" s="9"/>
      <c r="AI85" s="9"/>
      <c r="AJ85" s="9"/>
      <c r="AK85" s="7">
        <v>221</v>
      </c>
      <c r="AL85" t="s">
        <v>52</v>
      </c>
      <c r="AM85" s="10">
        <f t="shared" si="4"/>
        <v>22100</v>
      </c>
      <c r="AN85" s="10" t="s">
        <v>361</v>
      </c>
      <c r="AO85" t="s">
        <v>146</v>
      </c>
      <c r="AP85" s="1">
        <v>20502</v>
      </c>
      <c r="AQ85" t="s">
        <v>520</v>
      </c>
      <c r="AR85" s="11">
        <f t="shared" si="5"/>
        <v>20502</v>
      </c>
      <c r="BM85"/>
      <c r="BN85"/>
    </row>
    <row r="86" spans="31:66" hidden="1" x14ac:dyDescent="0.15">
      <c r="AE86" s="8" t="str">
        <f>VLOOKUP(演算S!$B$6+29,$AK$58:$AP$125,2,FALSE)</f>
        <v>みょうが</v>
      </c>
      <c r="AF86" s="8" t="b">
        <f t="shared" si="0"/>
        <v>1</v>
      </c>
      <c r="AG86" s="8" t="str">
        <f t="shared" si="1"/>
        <v>みょうが</v>
      </c>
      <c r="AH86" s="9"/>
      <c r="AI86" s="9"/>
      <c r="AJ86" s="9"/>
      <c r="AK86" s="7">
        <v>222</v>
      </c>
      <c r="AL86" t="s">
        <v>55</v>
      </c>
      <c r="AM86" s="10">
        <f t="shared" si="4"/>
        <v>22200</v>
      </c>
      <c r="AN86" s="10" t="s">
        <v>361</v>
      </c>
      <c r="AO86" t="s">
        <v>147</v>
      </c>
      <c r="AP86" s="1">
        <v>20601</v>
      </c>
      <c r="AQ86" t="s">
        <v>429</v>
      </c>
      <c r="AR86" s="11">
        <f t="shared" si="5"/>
        <v>20601</v>
      </c>
      <c r="BM86"/>
      <c r="BN86"/>
    </row>
    <row r="87" spans="31:66" hidden="1" x14ac:dyDescent="0.15">
      <c r="AE87" s="8" t="str">
        <f>VLOOKUP(演算S!$B$6+30,$AK$58:$AP$125,2,FALSE)</f>
        <v>さやいんげん</v>
      </c>
      <c r="AF87" s="8" t="b">
        <f t="shared" si="0"/>
        <v>1</v>
      </c>
      <c r="AG87" s="8" t="str">
        <f t="shared" si="1"/>
        <v>さやいんげん</v>
      </c>
      <c r="AH87" s="9"/>
      <c r="AI87" s="9"/>
      <c r="AJ87" s="9"/>
      <c r="AK87" s="7">
        <v>223</v>
      </c>
      <c r="AL87" t="s">
        <v>48</v>
      </c>
      <c r="AM87" s="10">
        <f t="shared" si="4"/>
        <v>22300</v>
      </c>
      <c r="AN87" s="10" t="s">
        <v>361</v>
      </c>
      <c r="AO87" t="s">
        <v>148</v>
      </c>
      <c r="AP87" s="1">
        <v>20701</v>
      </c>
      <c r="AQ87" t="s">
        <v>430</v>
      </c>
      <c r="AR87" s="11">
        <f t="shared" si="5"/>
        <v>20701</v>
      </c>
      <c r="BM87"/>
      <c r="BN87"/>
    </row>
    <row r="88" spans="31:66" hidden="1" x14ac:dyDescent="0.15">
      <c r="AE88" s="8" t="str">
        <f>VLOOKUP(演算S!$B$6+31,$AK$58:$AP$125,2,FALSE)</f>
        <v>さやえんどう</v>
      </c>
      <c r="AF88" s="8" t="b">
        <f t="shared" si="0"/>
        <v>1</v>
      </c>
      <c r="AG88" s="8" t="str">
        <f t="shared" si="1"/>
        <v>さやえんどう</v>
      </c>
      <c r="AH88" s="9"/>
      <c r="AI88" s="9"/>
      <c r="AJ88" s="9"/>
      <c r="AK88" s="7">
        <v>224</v>
      </c>
      <c r="AL88" t="s">
        <v>66</v>
      </c>
      <c r="AM88" s="10">
        <f t="shared" si="4"/>
        <v>22400</v>
      </c>
      <c r="AN88" s="10" t="s">
        <v>361</v>
      </c>
      <c r="AO88" t="s">
        <v>149</v>
      </c>
      <c r="AP88" s="1">
        <v>20801</v>
      </c>
      <c r="AQ88" t="s">
        <v>431</v>
      </c>
      <c r="AR88" s="11">
        <f t="shared" si="5"/>
        <v>20801</v>
      </c>
      <c r="BM88"/>
      <c r="BN88"/>
    </row>
    <row r="89" spans="31:66" hidden="1" x14ac:dyDescent="0.15">
      <c r="AE89" s="8" t="str">
        <f>VLOOKUP(演算S!$B$6+32,$AK$58:$AP$125,2,FALSE)</f>
        <v>えだまめ</v>
      </c>
      <c r="AF89" s="8" t="b">
        <f t="shared" si="0"/>
        <v>1</v>
      </c>
      <c r="AG89" s="8" t="str">
        <f t="shared" si="1"/>
        <v>えだまめ</v>
      </c>
      <c r="AH89" s="9"/>
      <c r="AI89" s="9"/>
      <c r="AJ89" s="9"/>
      <c r="AK89" s="7">
        <v>225</v>
      </c>
      <c r="AL89" t="s">
        <v>53</v>
      </c>
      <c r="AM89" s="10">
        <f t="shared" si="4"/>
        <v>22500</v>
      </c>
      <c r="AN89" s="10" t="s">
        <v>361</v>
      </c>
      <c r="AO89" t="s">
        <v>150</v>
      </c>
      <c r="AP89" s="1">
        <v>20802</v>
      </c>
      <c r="AQ89" t="s">
        <v>521</v>
      </c>
      <c r="AR89" s="11">
        <f t="shared" si="5"/>
        <v>20802</v>
      </c>
      <c r="BM89"/>
      <c r="BN89"/>
    </row>
    <row r="90" spans="31:66" hidden="1" x14ac:dyDescent="0.15">
      <c r="AE90" s="8" t="str">
        <f>VLOOKUP(演算S!$B$6+33,$AK$58:$AP$125,2,FALSE)</f>
        <v>スイートコーン</v>
      </c>
      <c r="AF90" s="8" t="b">
        <f t="shared" si="0"/>
        <v>1</v>
      </c>
      <c r="AG90" s="8" t="str">
        <f t="shared" si="1"/>
        <v>スイートコーン</v>
      </c>
      <c r="AH90" s="9"/>
      <c r="AI90" s="9"/>
      <c r="AJ90" s="9"/>
      <c r="AK90" s="7">
        <v>226</v>
      </c>
      <c r="AL90" t="s">
        <v>54</v>
      </c>
      <c r="AM90" s="10">
        <f t="shared" si="4"/>
        <v>22600</v>
      </c>
      <c r="AN90" s="10" t="s">
        <v>362</v>
      </c>
      <c r="AO90" t="s">
        <v>40</v>
      </c>
      <c r="AP90" s="1">
        <v>20901</v>
      </c>
      <c r="AQ90" t="s">
        <v>432</v>
      </c>
      <c r="AR90" s="11">
        <f t="shared" si="5"/>
        <v>20901</v>
      </c>
      <c r="BM90"/>
      <c r="BN90"/>
    </row>
    <row r="91" spans="31:66" hidden="1" x14ac:dyDescent="0.15">
      <c r="AE91" s="8" t="str">
        <f>VLOOKUP(演算S!$B$6+34,$AK$58:$AP$125,2,FALSE)</f>
        <v>食用ぎく</v>
      </c>
      <c r="AF91" s="8" t="b">
        <f t="shared" si="0"/>
        <v>1</v>
      </c>
      <c r="AG91" s="8" t="str">
        <f t="shared" si="1"/>
        <v>食用ぎく</v>
      </c>
      <c r="AH91" s="9"/>
      <c r="AI91" s="9"/>
      <c r="AJ91" s="9"/>
      <c r="AK91" s="7">
        <v>227</v>
      </c>
      <c r="AL91" t="s">
        <v>58</v>
      </c>
      <c r="AM91" s="10">
        <f t="shared" si="4"/>
        <v>22700</v>
      </c>
      <c r="AN91" s="10" t="s">
        <v>361</v>
      </c>
      <c r="AO91" t="s">
        <v>39</v>
      </c>
      <c r="AP91" s="1">
        <v>21001</v>
      </c>
      <c r="AQ91" t="s">
        <v>433</v>
      </c>
      <c r="AR91" s="11">
        <f t="shared" si="5"/>
        <v>21001</v>
      </c>
      <c r="BM91"/>
      <c r="BN91"/>
    </row>
    <row r="92" spans="31:66" hidden="1" x14ac:dyDescent="0.15">
      <c r="AE92" s="8" t="str">
        <f>VLOOKUP(演算S!$B$6+35,$AK$58:$AP$125,2,FALSE)</f>
        <v>うど</v>
      </c>
      <c r="AF92" s="8" t="b">
        <f t="shared" si="0"/>
        <v>1</v>
      </c>
      <c r="AG92" s="8" t="str">
        <f t="shared" si="1"/>
        <v>うど</v>
      </c>
      <c r="AH92" s="9"/>
      <c r="AI92" s="9"/>
      <c r="AJ92" s="9"/>
      <c r="AK92" s="7">
        <v>228</v>
      </c>
      <c r="AL92" t="s">
        <v>57</v>
      </c>
      <c r="AM92" s="10">
        <f t="shared" si="4"/>
        <v>22800</v>
      </c>
      <c r="AN92" s="10" t="s">
        <v>361</v>
      </c>
      <c r="AO92" t="s">
        <v>39</v>
      </c>
      <c r="AP92" s="1">
        <v>21002</v>
      </c>
      <c r="AQ92" t="s">
        <v>434</v>
      </c>
      <c r="AR92" s="11">
        <f t="shared" si="5"/>
        <v>21002</v>
      </c>
      <c r="BM92"/>
      <c r="BN92"/>
    </row>
    <row r="93" spans="31:66" hidden="1" x14ac:dyDescent="0.15">
      <c r="AE93" s="8" t="str">
        <f>VLOOKUP(演算S!$B$6+36,$AK$58:$AP$125,2,FALSE)</f>
        <v>かぼちゃ</v>
      </c>
      <c r="AF93" s="8" t="b">
        <f t="shared" si="0"/>
        <v>1</v>
      </c>
      <c r="AG93" s="8" t="str">
        <f t="shared" si="1"/>
        <v>かぼちゃ</v>
      </c>
      <c r="AH93" s="9"/>
      <c r="AI93" s="9"/>
      <c r="AJ93" s="9"/>
      <c r="AK93" s="7">
        <v>229</v>
      </c>
      <c r="AL93" t="s">
        <v>69</v>
      </c>
      <c r="AM93" s="10">
        <f t="shared" si="4"/>
        <v>22900</v>
      </c>
      <c r="AN93" s="10" t="s">
        <v>361</v>
      </c>
      <c r="AO93" t="s">
        <v>152</v>
      </c>
      <c r="AP93" s="1">
        <v>21101</v>
      </c>
      <c r="AQ93" t="s">
        <v>522</v>
      </c>
      <c r="AR93" s="11">
        <f t="shared" si="5"/>
        <v>21101</v>
      </c>
      <c r="BM93"/>
      <c r="BN93"/>
    </row>
    <row r="94" spans="31:66" hidden="1" x14ac:dyDescent="0.15">
      <c r="AE94" s="8" t="str">
        <f>VLOOKUP(演算S!$B$6+37,$AK$58:$AP$125,2,FALSE)</f>
        <v>なばな</v>
      </c>
      <c r="AF94" s="8" t="b">
        <f t="shared" si="0"/>
        <v>1</v>
      </c>
      <c r="AG94" s="8" t="str">
        <f t="shared" si="1"/>
        <v>なばな</v>
      </c>
      <c r="AH94" s="9"/>
      <c r="AI94" s="9"/>
      <c r="AJ94" s="9"/>
      <c r="AK94" s="7">
        <v>230</v>
      </c>
      <c r="AL94" t="s">
        <v>65</v>
      </c>
      <c r="AM94" s="10">
        <f t="shared" si="4"/>
        <v>23000</v>
      </c>
      <c r="AN94" s="10" t="s">
        <v>361</v>
      </c>
      <c r="AO94" t="s">
        <v>153</v>
      </c>
      <c r="AP94" s="1">
        <v>21201</v>
      </c>
      <c r="AQ94" t="s">
        <v>523</v>
      </c>
      <c r="AR94" s="11">
        <f t="shared" si="5"/>
        <v>21201</v>
      </c>
      <c r="BM94"/>
      <c r="BN94"/>
    </row>
    <row r="95" spans="31:66" hidden="1" x14ac:dyDescent="0.15">
      <c r="AE95" s="8" t="str">
        <f>VLOOKUP(演算S!$B$6+38,$AK$58:$AP$125,2,FALSE)</f>
        <v>その他野菜</v>
      </c>
      <c r="AF95" s="8" t="b">
        <f t="shared" si="0"/>
        <v>1</v>
      </c>
      <c r="AG95" s="8" t="str">
        <f t="shared" si="1"/>
        <v>その他野菜</v>
      </c>
      <c r="AH95" s="9"/>
      <c r="AI95" s="9"/>
      <c r="AJ95" s="9"/>
      <c r="AK95" s="7">
        <v>231</v>
      </c>
      <c r="AL95" t="s">
        <v>64</v>
      </c>
      <c r="AM95" s="10">
        <f t="shared" si="4"/>
        <v>23100</v>
      </c>
      <c r="AN95" s="10" t="s">
        <v>361</v>
      </c>
      <c r="AO95" t="s">
        <v>154</v>
      </c>
      <c r="AP95" s="1">
        <v>21301</v>
      </c>
      <c r="AQ95" t="s">
        <v>435</v>
      </c>
      <c r="AR95" s="11">
        <f t="shared" si="5"/>
        <v>21301</v>
      </c>
      <c r="BM95"/>
      <c r="BN95"/>
    </row>
    <row r="96" spans="31:66" hidden="1" x14ac:dyDescent="0.15">
      <c r="AE96" s="9"/>
      <c r="AF96" s="9"/>
      <c r="AG96" s="9"/>
      <c r="AH96" s="9"/>
      <c r="AI96" s="9"/>
      <c r="AJ96" s="9"/>
      <c r="AK96" s="7">
        <v>232</v>
      </c>
      <c r="AL96" t="s">
        <v>62</v>
      </c>
      <c r="AM96" s="10">
        <f t="shared" si="4"/>
        <v>23200</v>
      </c>
      <c r="AN96" s="10" t="s">
        <v>362</v>
      </c>
      <c r="AO96" t="s">
        <v>155</v>
      </c>
      <c r="AP96" s="1">
        <v>21401</v>
      </c>
      <c r="AQ96" t="s">
        <v>524</v>
      </c>
      <c r="AR96" s="11">
        <f t="shared" si="5"/>
        <v>21401</v>
      </c>
      <c r="BM96"/>
      <c r="BN96"/>
    </row>
    <row r="97" spans="31:66" hidden="1" x14ac:dyDescent="0.15">
      <c r="AE97" s="9"/>
      <c r="AF97" s="9"/>
      <c r="AG97" s="9"/>
      <c r="AH97" s="9"/>
      <c r="AI97" s="9"/>
      <c r="AJ97" s="9"/>
      <c r="AK97" s="7">
        <v>233</v>
      </c>
      <c r="AL97" t="s">
        <v>63</v>
      </c>
      <c r="AM97" s="10">
        <f t="shared" si="4"/>
        <v>23300</v>
      </c>
      <c r="AN97" s="10" t="s">
        <v>361</v>
      </c>
      <c r="AO97" t="s">
        <v>156</v>
      </c>
      <c r="AP97" s="1">
        <v>21501</v>
      </c>
      <c r="AQ97" t="s">
        <v>525</v>
      </c>
      <c r="AR97" s="11">
        <f t="shared" si="5"/>
        <v>21501</v>
      </c>
      <c r="BM97"/>
      <c r="BN97"/>
    </row>
    <row r="98" spans="31:66" hidden="1" x14ac:dyDescent="0.15">
      <c r="AE98" s="9"/>
      <c r="AF98" s="9"/>
      <c r="AG98" s="9"/>
      <c r="AH98" s="9"/>
      <c r="AI98" s="9"/>
      <c r="AJ98" s="9"/>
      <c r="AK98" s="7">
        <v>234</v>
      </c>
      <c r="AL98" t="s">
        <v>72</v>
      </c>
      <c r="AM98" s="10">
        <f t="shared" si="4"/>
        <v>23400</v>
      </c>
      <c r="AN98" s="10" t="s">
        <v>361</v>
      </c>
      <c r="AO98" t="s">
        <v>157</v>
      </c>
      <c r="AP98" s="1">
        <v>21601</v>
      </c>
      <c r="AQ98" t="s">
        <v>526</v>
      </c>
      <c r="AR98" s="11">
        <f t="shared" si="5"/>
        <v>21601</v>
      </c>
      <c r="BM98"/>
      <c r="BN98"/>
    </row>
    <row r="99" spans="31:66" hidden="1" x14ac:dyDescent="0.15">
      <c r="AE99" s="9"/>
      <c r="AF99" s="9"/>
      <c r="AG99" s="9"/>
      <c r="AH99" s="9"/>
      <c r="AI99" s="9"/>
      <c r="AJ99" s="9"/>
      <c r="AK99" s="7">
        <v>235</v>
      </c>
      <c r="AL99" t="s">
        <v>71</v>
      </c>
      <c r="AM99" s="10">
        <f t="shared" si="4"/>
        <v>23500</v>
      </c>
      <c r="AN99" s="10" t="s">
        <v>361</v>
      </c>
      <c r="AO99" t="s">
        <v>158</v>
      </c>
      <c r="AP99" s="1">
        <v>21701</v>
      </c>
      <c r="AQ99" t="s">
        <v>436</v>
      </c>
      <c r="AR99" s="11">
        <f t="shared" si="5"/>
        <v>21701</v>
      </c>
      <c r="BM99"/>
      <c r="BN99"/>
    </row>
    <row r="100" spans="31:66" hidden="1" x14ac:dyDescent="0.15">
      <c r="AE100" s="9"/>
      <c r="AF100" s="9"/>
      <c r="AG100" s="9"/>
      <c r="AH100" s="9"/>
      <c r="AI100" s="9"/>
      <c r="AJ100" s="9"/>
      <c r="AK100" s="7">
        <v>236</v>
      </c>
      <c r="AL100" t="s">
        <v>37</v>
      </c>
      <c r="AM100" s="10">
        <f t="shared" si="4"/>
        <v>23600</v>
      </c>
      <c r="AN100" s="10" t="s">
        <v>361</v>
      </c>
      <c r="AO100" t="s">
        <v>158</v>
      </c>
      <c r="AP100" s="1">
        <v>21702</v>
      </c>
      <c r="AQ100" t="s">
        <v>437</v>
      </c>
      <c r="AR100" s="11">
        <f t="shared" si="5"/>
        <v>21702</v>
      </c>
      <c r="BM100"/>
      <c r="BN100"/>
    </row>
    <row r="101" spans="31:66" hidden="1" x14ac:dyDescent="0.15">
      <c r="AE101" s="9"/>
      <c r="AF101" s="9"/>
      <c r="AG101" s="9"/>
      <c r="AH101" s="9"/>
      <c r="AI101" s="9"/>
      <c r="AJ101" s="9"/>
      <c r="AK101" s="7">
        <v>237</v>
      </c>
      <c r="AL101" t="s">
        <v>56</v>
      </c>
      <c r="AM101" s="10">
        <f t="shared" si="4"/>
        <v>23700</v>
      </c>
      <c r="AN101" s="10" t="s">
        <v>361</v>
      </c>
      <c r="AO101" t="s">
        <v>160</v>
      </c>
      <c r="AP101" s="1">
        <v>21801</v>
      </c>
      <c r="AQ101" t="s">
        <v>527</v>
      </c>
      <c r="AR101" s="11">
        <f t="shared" si="5"/>
        <v>21801</v>
      </c>
      <c r="BM101"/>
      <c r="BN101"/>
    </row>
    <row r="102" spans="31:66" hidden="1" x14ac:dyDescent="0.15">
      <c r="AE102" s="9"/>
      <c r="AF102" s="9"/>
      <c r="AG102" s="9"/>
      <c r="AH102" s="9"/>
      <c r="AI102" s="9"/>
      <c r="AJ102" s="9"/>
      <c r="AK102" s="7">
        <v>238</v>
      </c>
      <c r="AL102" t="s">
        <v>75</v>
      </c>
      <c r="AM102" s="10">
        <f t="shared" si="4"/>
        <v>23800</v>
      </c>
      <c r="AN102" s="10" t="s">
        <v>361</v>
      </c>
      <c r="AO102" t="s">
        <v>161</v>
      </c>
      <c r="AP102" s="1">
        <v>21901</v>
      </c>
      <c r="AQ102" t="s">
        <v>438</v>
      </c>
      <c r="AR102" s="11">
        <f t="shared" si="5"/>
        <v>21901</v>
      </c>
      <c r="BM102"/>
      <c r="BN102"/>
    </row>
    <row r="103" spans="31:66" hidden="1" x14ac:dyDescent="0.15">
      <c r="AE103" s="9"/>
      <c r="AF103" s="9"/>
      <c r="AG103" s="9"/>
      <c r="AH103" s="9"/>
      <c r="AI103" s="9"/>
      <c r="AJ103" s="9"/>
      <c r="AK103" s="1">
        <v>301</v>
      </c>
      <c r="AL103" t="s">
        <v>82</v>
      </c>
      <c r="AM103" s="10">
        <f t="shared" si="4"/>
        <v>30100</v>
      </c>
      <c r="AN103" s="10" t="s">
        <v>361</v>
      </c>
      <c r="AO103" t="s">
        <v>162</v>
      </c>
      <c r="AP103" s="1">
        <v>21902</v>
      </c>
      <c r="AQ103" t="s">
        <v>439</v>
      </c>
      <c r="AR103" s="11">
        <f t="shared" si="5"/>
        <v>21902</v>
      </c>
      <c r="BM103"/>
      <c r="BN103"/>
    </row>
    <row r="104" spans="31:66" hidden="1" x14ac:dyDescent="0.15">
      <c r="AH104" s="9"/>
      <c r="AI104" s="9"/>
      <c r="AK104" s="1">
        <v>302</v>
      </c>
      <c r="AL104" t="s">
        <v>83</v>
      </c>
      <c r="AM104" s="10">
        <f t="shared" si="4"/>
        <v>30200</v>
      </c>
      <c r="AN104" s="10" t="s">
        <v>361</v>
      </c>
      <c r="AO104" t="s">
        <v>162</v>
      </c>
      <c r="AP104" s="1">
        <v>21903</v>
      </c>
      <c r="AQ104" t="s">
        <v>528</v>
      </c>
      <c r="AR104" s="11">
        <f t="shared" si="5"/>
        <v>21903</v>
      </c>
      <c r="BM104"/>
      <c r="BN104"/>
    </row>
    <row r="105" spans="31:66" hidden="1" x14ac:dyDescent="0.15">
      <c r="AH105" s="9"/>
      <c r="AI105" s="9"/>
      <c r="AK105" s="1">
        <v>303</v>
      </c>
      <c r="AL105" t="s">
        <v>84</v>
      </c>
      <c r="AM105" s="10">
        <f t="shared" si="4"/>
        <v>30300</v>
      </c>
      <c r="AN105" s="10" t="s">
        <v>361</v>
      </c>
      <c r="AO105" t="s">
        <v>163</v>
      </c>
      <c r="AP105" s="1">
        <v>22001</v>
      </c>
      <c r="AQ105" t="s">
        <v>529</v>
      </c>
      <c r="AR105" s="11">
        <f t="shared" si="5"/>
        <v>22001</v>
      </c>
      <c r="BM105"/>
      <c r="BN105"/>
    </row>
    <row r="106" spans="31:66" hidden="1" x14ac:dyDescent="0.15">
      <c r="AH106" s="9"/>
      <c r="AI106" s="9"/>
      <c r="AK106" s="1">
        <v>304</v>
      </c>
      <c r="AL106" t="s">
        <v>85</v>
      </c>
      <c r="AM106" s="10">
        <f t="shared" si="4"/>
        <v>30400</v>
      </c>
      <c r="AN106" s="10" t="s">
        <v>361</v>
      </c>
      <c r="AO106" t="s">
        <v>164</v>
      </c>
      <c r="AP106" s="1">
        <v>22101</v>
      </c>
      <c r="AQ106" t="s">
        <v>440</v>
      </c>
      <c r="AR106" s="11">
        <f t="shared" si="5"/>
        <v>22101</v>
      </c>
      <c r="BM106"/>
      <c r="BN106"/>
    </row>
    <row r="107" spans="31:66" hidden="1" x14ac:dyDescent="0.15">
      <c r="AH107" s="9"/>
      <c r="AI107" s="9"/>
      <c r="AK107" s="1">
        <v>305</v>
      </c>
      <c r="AL107" t="s">
        <v>86</v>
      </c>
      <c r="AM107" s="10">
        <f t="shared" si="4"/>
        <v>30500</v>
      </c>
      <c r="AN107" s="10" t="s">
        <v>361</v>
      </c>
      <c r="AO107" t="s">
        <v>164</v>
      </c>
      <c r="AP107" s="1">
        <v>22102</v>
      </c>
      <c r="AQ107" t="s">
        <v>441</v>
      </c>
      <c r="AR107" s="11">
        <f t="shared" si="5"/>
        <v>22102</v>
      </c>
      <c r="BM107"/>
      <c r="BN107"/>
    </row>
    <row r="108" spans="31:66" hidden="1" x14ac:dyDescent="0.15">
      <c r="AH108" s="9"/>
      <c r="AI108" s="9"/>
      <c r="AK108" s="1">
        <v>306</v>
      </c>
      <c r="AL108" t="s">
        <v>87</v>
      </c>
      <c r="AM108" s="10">
        <f t="shared" si="4"/>
        <v>30600</v>
      </c>
      <c r="AN108" s="10" t="s">
        <v>361</v>
      </c>
      <c r="AO108" t="s">
        <v>164</v>
      </c>
      <c r="AP108" s="1">
        <v>22103</v>
      </c>
      <c r="AQ108" t="s">
        <v>442</v>
      </c>
      <c r="AR108" s="11">
        <f t="shared" si="5"/>
        <v>22103</v>
      </c>
      <c r="BM108"/>
      <c r="BN108"/>
    </row>
    <row r="109" spans="31:66" hidden="1" x14ac:dyDescent="0.15">
      <c r="AH109" s="9"/>
      <c r="AI109" s="9"/>
      <c r="AK109" s="1">
        <v>307</v>
      </c>
      <c r="AL109" t="s">
        <v>95</v>
      </c>
      <c r="AM109" s="10">
        <f t="shared" si="4"/>
        <v>30700</v>
      </c>
      <c r="AN109" s="10" t="s">
        <v>361</v>
      </c>
      <c r="AO109" t="s">
        <v>164</v>
      </c>
      <c r="AP109" s="1">
        <v>22104</v>
      </c>
      <c r="AQ109" t="s">
        <v>443</v>
      </c>
      <c r="AR109" s="11">
        <f t="shared" si="5"/>
        <v>22104</v>
      </c>
      <c r="BM109"/>
      <c r="BN109"/>
    </row>
    <row r="110" spans="31:66" hidden="1" x14ac:dyDescent="0.15">
      <c r="AH110" s="9"/>
      <c r="AI110" s="9"/>
      <c r="AK110" s="1">
        <v>308</v>
      </c>
      <c r="AL110" t="s">
        <v>89</v>
      </c>
      <c r="AM110" s="10">
        <f t="shared" si="4"/>
        <v>30800</v>
      </c>
      <c r="AN110" s="10" t="s">
        <v>361</v>
      </c>
      <c r="AO110" t="s">
        <v>164</v>
      </c>
      <c r="AP110" s="1">
        <v>22105</v>
      </c>
      <c r="AQ110" t="s">
        <v>444</v>
      </c>
      <c r="AR110" s="11">
        <f t="shared" si="5"/>
        <v>22105</v>
      </c>
      <c r="BM110"/>
      <c r="BN110"/>
    </row>
    <row r="111" spans="31:66" hidden="1" x14ac:dyDescent="0.15">
      <c r="AH111" s="9"/>
      <c r="AI111" s="9"/>
      <c r="AK111" s="1">
        <v>309</v>
      </c>
      <c r="AL111" t="s">
        <v>94</v>
      </c>
      <c r="AM111" s="10">
        <f t="shared" si="4"/>
        <v>30900</v>
      </c>
      <c r="AN111" s="10" t="s">
        <v>361</v>
      </c>
      <c r="AO111" t="s">
        <v>165</v>
      </c>
      <c r="AP111" s="1">
        <v>22201</v>
      </c>
      <c r="AQ111" t="s">
        <v>445</v>
      </c>
      <c r="AR111" s="11">
        <f t="shared" si="5"/>
        <v>22201</v>
      </c>
      <c r="BM111"/>
      <c r="BN111"/>
    </row>
    <row r="112" spans="31:66" hidden="1" x14ac:dyDescent="0.15">
      <c r="AK112" s="1">
        <v>310</v>
      </c>
      <c r="AL112" t="s">
        <v>96</v>
      </c>
      <c r="AM112" s="10">
        <f t="shared" si="4"/>
        <v>31000</v>
      </c>
      <c r="AN112" s="10" t="s">
        <v>361</v>
      </c>
      <c r="AO112" t="s">
        <v>165</v>
      </c>
      <c r="AP112" s="1">
        <v>22202</v>
      </c>
      <c r="AQ112" t="s">
        <v>446</v>
      </c>
      <c r="AR112" s="11">
        <f t="shared" si="5"/>
        <v>22202</v>
      </c>
      <c r="BM112"/>
      <c r="BN112"/>
    </row>
    <row r="113" spans="37:66" hidden="1" x14ac:dyDescent="0.15">
      <c r="AK113" s="1">
        <v>311</v>
      </c>
      <c r="AL113" t="s">
        <v>98</v>
      </c>
      <c r="AM113" s="10">
        <f t="shared" si="4"/>
        <v>31100</v>
      </c>
      <c r="AN113" s="10" t="s">
        <v>361</v>
      </c>
      <c r="AO113" t="s">
        <v>165</v>
      </c>
      <c r="AP113" s="1">
        <v>22203</v>
      </c>
      <c r="AQ113" t="s">
        <v>447</v>
      </c>
      <c r="AR113" s="11">
        <f t="shared" si="5"/>
        <v>22203</v>
      </c>
      <c r="BM113"/>
      <c r="BN113"/>
    </row>
    <row r="114" spans="37:66" hidden="1" x14ac:dyDescent="0.15">
      <c r="AK114" s="1">
        <v>401</v>
      </c>
      <c r="AL114" t="s">
        <v>76</v>
      </c>
      <c r="AM114" s="10">
        <f t="shared" si="4"/>
        <v>40100</v>
      </c>
      <c r="AN114" s="10" t="s">
        <v>361</v>
      </c>
      <c r="AO114" t="s">
        <v>165</v>
      </c>
      <c r="AP114" s="1">
        <v>22204</v>
      </c>
      <c r="AQ114" t="s">
        <v>448</v>
      </c>
      <c r="AR114" s="11">
        <f t="shared" si="5"/>
        <v>22204</v>
      </c>
      <c r="BM114"/>
      <c r="BN114"/>
    </row>
    <row r="115" spans="37:66" hidden="1" x14ac:dyDescent="0.15">
      <c r="AK115" s="1">
        <v>402</v>
      </c>
      <c r="AL115" t="s">
        <v>77</v>
      </c>
      <c r="AM115" s="10">
        <f t="shared" si="4"/>
        <v>40200</v>
      </c>
      <c r="AN115" s="10" t="s">
        <v>361</v>
      </c>
      <c r="AO115" t="s">
        <v>166</v>
      </c>
      <c r="AP115" s="1">
        <v>22301</v>
      </c>
      <c r="AQ115" t="s">
        <v>530</v>
      </c>
      <c r="AR115" s="11">
        <f t="shared" si="5"/>
        <v>22301</v>
      </c>
      <c r="BM115"/>
      <c r="BN115"/>
    </row>
    <row r="116" spans="37:66" hidden="1" x14ac:dyDescent="0.15">
      <c r="AK116" s="1">
        <v>403</v>
      </c>
      <c r="AL116" t="s">
        <v>215</v>
      </c>
      <c r="AM116" s="10">
        <f t="shared" si="4"/>
        <v>40300</v>
      </c>
      <c r="AN116" s="10" t="s">
        <v>361</v>
      </c>
      <c r="AO116" t="s">
        <v>167</v>
      </c>
      <c r="AP116" s="1">
        <v>22401</v>
      </c>
      <c r="AQ116" t="s">
        <v>531</v>
      </c>
      <c r="AR116" s="11">
        <f t="shared" si="5"/>
        <v>22401</v>
      </c>
      <c r="BM116"/>
      <c r="BN116"/>
    </row>
    <row r="117" spans="37:66" hidden="1" x14ac:dyDescent="0.15">
      <c r="AK117" s="1">
        <v>404</v>
      </c>
      <c r="AL117" t="s">
        <v>78</v>
      </c>
      <c r="AM117" s="10">
        <f t="shared" si="4"/>
        <v>40400</v>
      </c>
      <c r="AN117" s="10" t="s">
        <v>361</v>
      </c>
      <c r="AO117" t="s">
        <v>168</v>
      </c>
      <c r="AP117" s="1">
        <v>22501</v>
      </c>
      <c r="AQ117" t="s">
        <v>449</v>
      </c>
      <c r="AR117" s="11">
        <f t="shared" si="5"/>
        <v>22501</v>
      </c>
      <c r="BM117"/>
      <c r="BN117"/>
    </row>
    <row r="118" spans="37:66" hidden="1" x14ac:dyDescent="0.15">
      <c r="AK118" s="1">
        <v>405</v>
      </c>
      <c r="AL118" t="s">
        <v>79</v>
      </c>
      <c r="AM118" s="10">
        <f t="shared" si="4"/>
        <v>40500</v>
      </c>
      <c r="AN118" s="10" t="s">
        <v>361</v>
      </c>
      <c r="AO118" t="s">
        <v>68</v>
      </c>
      <c r="AP118" s="1">
        <v>22502</v>
      </c>
      <c r="AQ118" t="s">
        <v>450</v>
      </c>
      <c r="AR118" s="11">
        <f t="shared" si="5"/>
        <v>22502</v>
      </c>
      <c r="BM118"/>
      <c r="BN118"/>
    </row>
    <row r="119" spans="37:66" hidden="1" x14ac:dyDescent="0.15">
      <c r="AK119" s="1">
        <v>406</v>
      </c>
      <c r="AL119" t="s">
        <v>81</v>
      </c>
      <c r="AM119" s="10">
        <f t="shared" si="4"/>
        <v>40600</v>
      </c>
      <c r="AN119" s="10" t="s">
        <v>361</v>
      </c>
      <c r="AO119" t="s">
        <v>54</v>
      </c>
      <c r="AP119" s="1">
        <v>22601</v>
      </c>
      <c r="AQ119" t="s">
        <v>532</v>
      </c>
      <c r="AR119" s="11">
        <f t="shared" si="5"/>
        <v>22601</v>
      </c>
      <c r="BM119"/>
      <c r="BN119"/>
    </row>
    <row r="120" spans="37:66" hidden="1" x14ac:dyDescent="0.15">
      <c r="AK120" s="7">
        <v>501</v>
      </c>
      <c r="AL120" t="s">
        <v>552</v>
      </c>
      <c r="AM120" s="10">
        <f t="shared" si="4"/>
        <v>50100</v>
      </c>
      <c r="AN120" s="10" t="s">
        <v>361</v>
      </c>
      <c r="AO120" t="s">
        <v>171</v>
      </c>
      <c r="AP120" s="1">
        <v>22701</v>
      </c>
      <c r="AQ120" t="s">
        <v>533</v>
      </c>
      <c r="AR120" s="11">
        <f t="shared" si="5"/>
        <v>22701</v>
      </c>
      <c r="BM120"/>
      <c r="BN120"/>
    </row>
    <row r="121" spans="37:66" hidden="1" x14ac:dyDescent="0.15">
      <c r="AK121" s="7">
        <v>502</v>
      </c>
      <c r="AL121" t="s">
        <v>559</v>
      </c>
      <c r="AM121" s="10">
        <f t="shared" si="4"/>
        <v>50200</v>
      </c>
      <c r="AN121" s="10" t="s">
        <v>361</v>
      </c>
      <c r="AO121" t="s">
        <v>173</v>
      </c>
      <c r="AP121" s="1">
        <v>22702</v>
      </c>
      <c r="AQ121" t="s">
        <v>534</v>
      </c>
      <c r="AR121" s="11">
        <f t="shared" si="5"/>
        <v>22702</v>
      </c>
      <c r="BM121"/>
      <c r="BN121"/>
    </row>
    <row r="122" spans="37:66" hidden="1" x14ac:dyDescent="0.15">
      <c r="AK122" s="7">
        <v>503</v>
      </c>
      <c r="AL122" t="s">
        <v>560</v>
      </c>
      <c r="AM122" s="10">
        <f t="shared" si="4"/>
        <v>50300</v>
      </c>
      <c r="AN122" s="10" t="s">
        <v>361</v>
      </c>
      <c r="AO122" t="s">
        <v>175</v>
      </c>
      <c r="AP122" s="1">
        <v>22801</v>
      </c>
      <c r="AQ122" t="s">
        <v>451</v>
      </c>
      <c r="AR122" s="11">
        <f t="shared" ref="AR122:AR184" si="6">AP122</f>
        <v>22801</v>
      </c>
      <c r="BM122"/>
      <c r="BN122"/>
    </row>
    <row r="123" spans="37:66" hidden="1" x14ac:dyDescent="0.15">
      <c r="AK123" s="7">
        <v>504</v>
      </c>
      <c r="AL123" t="s">
        <v>102</v>
      </c>
      <c r="AM123" s="10">
        <f>AK123*100</f>
        <v>50400</v>
      </c>
      <c r="AN123" s="10" t="s">
        <v>361</v>
      </c>
      <c r="AO123" t="s">
        <v>176</v>
      </c>
      <c r="AP123" s="1">
        <v>22901</v>
      </c>
      <c r="AQ123" t="s">
        <v>535</v>
      </c>
      <c r="AR123" s="11">
        <f t="shared" si="6"/>
        <v>22901</v>
      </c>
      <c r="BM123"/>
      <c r="BN123"/>
    </row>
    <row r="124" spans="37:66" hidden="1" x14ac:dyDescent="0.15">
      <c r="AK124" s="7">
        <v>505</v>
      </c>
      <c r="AL124" t="s">
        <v>562</v>
      </c>
      <c r="AM124" s="10">
        <f>AK124*100</f>
        <v>50500</v>
      </c>
      <c r="AN124" s="10" t="s">
        <v>361</v>
      </c>
      <c r="AO124" t="s">
        <v>178</v>
      </c>
      <c r="AP124" s="1">
        <v>22902</v>
      </c>
      <c r="AQ124" t="s">
        <v>536</v>
      </c>
      <c r="AR124" s="11">
        <f t="shared" si="6"/>
        <v>22902</v>
      </c>
      <c r="BM124"/>
      <c r="BN124"/>
    </row>
    <row r="125" spans="37:66" hidden="1" x14ac:dyDescent="0.15">
      <c r="AK125" s="7">
        <v>506</v>
      </c>
      <c r="AL125" t="s">
        <v>574</v>
      </c>
      <c r="AM125" s="10">
        <f>AK125*100</f>
        <v>50600</v>
      </c>
      <c r="AN125" s="10" t="s">
        <v>361</v>
      </c>
      <c r="AO125" t="s">
        <v>179</v>
      </c>
      <c r="AP125" s="1">
        <v>23001</v>
      </c>
      <c r="AQ125" t="s">
        <v>452</v>
      </c>
      <c r="AR125" s="11">
        <f t="shared" si="6"/>
        <v>23001</v>
      </c>
      <c r="BM125"/>
      <c r="BN125"/>
    </row>
    <row r="126" spans="37:66" hidden="1" x14ac:dyDescent="0.15">
      <c r="AK126" s="7"/>
      <c r="AL126"/>
      <c r="AM126" s="10"/>
      <c r="AN126" s="10"/>
      <c r="AO126" t="s">
        <v>180</v>
      </c>
      <c r="AP126" s="1">
        <v>23002</v>
      </c>
      <c r="AQ126" t="s">
        <v>453</v>
      </c>
      <c r="AR126" s="11">
        <f t="shared" si="6"/>
        <v>23002</v>
      </c>
      <c r="BM126"/>
      <c r="BN126"/>
    </row>
    <row r="127" spans="37:66" hidden="1" x14ac:dyDescent="0.15">
      <c r="AK127" s="7"/>
      <c r="AL127"/>
      <c r="AM127" s="10"/>
      <c r="AN127" s="10"/>
      <c r="AO127" t="s">
        <v>182</v>
      </c>
      <c r="AP127" s="1">
        <v>23101</v>
      </c>
      <c r="AQ127" t="s">
        <v>537</v>
      </c>
      <c r="AR127" s="11">
        <f t="shared" si="6"/>
        <v>23101</v>
      </c>
      <c r="BM127"/>
      <c r="BN127"/>
    </row>
    <row r="128" spans="37:66" hidden="1" x14ac:dyDescent="0.15">
      <c r="AL128"/>
      <c r="AM128"/>
      <c r="AN128"/>
      <c r="AO128" t="s">
        <v>182</v>
      </c>
      <c r="AP128" s="1">
        <v>23102</v>
      </c>
      <c r="AQ128" t="s">
        <v>454</v>
      </c>
      <c r="AR128" s="11">
        <f t="shared" si="6"/>
        <v>23102</v>
      </c>
      <c r="BM128"/>
      <c r="BN128"/>
    </row>
    <row r="129" spans="38:66" hidden="1" x14ac:dyDescent="0.15">
      <c r="AL129"/>
      <c r="AM129"/>
      <c r="AN129"/>
      <c r="AO129" t="s">
        <v>62</v>
      </c>
      <c r="AP129" s="1">
        <v>23201</v>
      </c>
      <c r="AQ129" t="s">
        <v>455</v>
      </c>
      <c r="AR129" s="11">
        <f t="shared" si="6"/>
        <v>23201</v>
      </c>
      <c r="BM129"/>
      <c r="BN129"/>
    </row>
    <row r="130" spans="38:66" hidden="1" x14ac:dyDescent="0.15">
      <c r="AL130"/>
      <c r="AM130"/>
      <c r="AN130"/>
      <c r="AO130" t="s">
        <v>62</v>
      </c>
      <c r="AP130" s="1">
        <v>23202</v>
      </c>
      <c r="AQ130" t="s">
        <v>456</v>
      </c>
      <c r="AR130" s="11">
        <f t="shared" si="6"/>
        <v>23202</v>
      </c>
      <c r="BM130"/>
      <c r="BN130"/>
    </row>
    <row r="131" spans="38:66" hidden="1" x14ac:dyDescent="0.15">
      <c r="AL131"/>
      <c r="AM131"/>
      <c r="AN131"/>
      <c r="AO131" t="s">
        <v>63</v>
      </c>
      <c r="AP131" s="1">
        <v>23301</v>
      </c>
      <c r="AQ131" t="s">
        <v>457</v>
      </c>
      <c r="AR131" s="11">
        <f t="shared" si="6"/>
        <v>23301</v>
      </c>
      <c r="BM131"/>
      <c r="BN131"/>
    </row>
    <row r="132" spans="38:66" hidden="1" x14ac:dyDescent="0.15">
      <c r="AL132"/>
      <c r="AM132"/>
      <c r="AN132"/>
      <c r="AO132" t="s">
        <v>72</v>
      </c>
      <c r="AP132" s="1">
        <v>23401</v>
      </c>
      <c r="AQ132" t="s">
        <v>458</v>
      </c>
      <c r="AR132" s="11">
        <f t="shared" si="6"/>
        <v>23401</v>
      </c>
      <c r="BM132"/>
      <c r="BN132"/>
    </row>
    <row r="133" spans="38:66" hidden="1" x14ac:dyDescent="0.15">
      <c r="AL133"/>
      <c r="AM133"/>
      <c r="AN133"/>
      <c r="AO133" t="s">
        <v>183</v>
      </c>
      <c r="AP133" s="1">
        <v>23501</v>
      </c>
      <c r="AQ133" t="s">
        <v>459</v>
      </c>
      <c r="AR133" s="11">
        <f t="shared" si="6"/>
        <v>23501</v>
      </c>
      <c r="BM133"/>
      <c r="BN133"/>
    </row>
    <row r="134" spans="38:66" hidden="1" x14ac:dyDescent="0.15">
      <c r="AL134"/>
      <c r="AM134"/>
      <c r="AN134"/>
      <c r="AO134" t="s">
        <v>186</v>
      </c>
      <c r="AP134" s="1">
        <v>23601</v>
      </c>
      <c r="AQ134" t="s">
        <v>538</v>
      </c>
      <c r="AR134" s="11">
        <f t="shared" si="6"/>
        <v>23601</v>
      </c>
      <c r="BM134"/>
      <c r="BN134"/>
    </row>
    <row r="135" spans="38:66" hidden="1" x14ac:dyDescent="0.15">
      <c r="AL135"/>
      <c r="AM135"/>
      <c r="AN135"/>
      <c r="AO135" t="s">
        <v>187</v>
      </c>
      <c r="AP135" s="1">
        <v>23701</v>
      </c>
      <c r="AQ135" t="s">
        <v>539</v>
      </c>
      <c r="AR135" s="11">
        <f t="shared" si="6"/>
        <v>23701</v>
      </c>
      <c r="BM135"/>
      <c r="BN135"/>
    </row>
    <row r="136" spans="38:66" hidden="1" x14ac:dyDescent="0.15">
      <c r="AL136"/>
      <c r="AM136"/>
      <c r="AN136"/>
      <c r="AO136" t="s">
        <v>197</v>
      </c>
      <c r="AP136" s="1">
        <v>23801</v>
      </c>
      <c r="AQ136" t="s">
        <v>597</v>
      </c>
      <c r="AR136" s="11">
        <f t="shared" si="6"/>
        <v>23801</v>
      </c>
      <c r="BM136"/>
      <c r="BN136"/>
    </row>
    <row r="137" spans="38:66" hidden="1" x14ac:dyDescent="0.15">
      <c r="AL137"/>
      <c r="AM137"/>
      <c r="AN137"/>
      <c r="AO137" t="s">
        <v>198</v>
      </c>
      <c r="AP137" s="1">
        <v>23802</v>
      </c>
      <c r="AQ137" t="s">
        <v>599</v>
      </c>
      <c r="AR137" s="11">
        <f t="shared" si="6"/>
        <v>23802</v>
      </c>
      <c r="BM137"/>
      <c r="BN137"/>
    </row>
    <row r="138" spans="38:66" hidden="1" x14ac:dyDescent="0.15">
      <c r="AL138"/>
      <c r="AM138"/>
      <c r="AN138"/>
      <c r="AO138" t="s">
        <v>185</v>
      </c>
      <c r="AP138" s="1">
        <v>23803</v>
      </c>
      <c r="AQ138" t="s">
        <v>540</v>
      </c>
      <c r="AR138" s="11">
        <f t="shared" si="6"/>
        <v>23803</v>
      </c>
      <c r="BM138"/>
      <c r="BN138"/>
    </row>
    <row r="139" spans="38:66" hidden="1" x14ac:dyDescent="0.15">
      <c r="AL139"/>
      <c r="AM139"/>
      <c r="AN139"/>
      <c r="AO139" t="s">
        <v>185</v>
      </c>
      <c r="AP139" s="1">
        <v>23804</v>
      </c>
      <c r="AQ139" t="s">
        <v>541</v>
      </c>
      <c r="AR139" s="11">
        <f t="shared" si="6"/>
        <v>23804</v>
      </c>
      <c r="BM139"/>
      <c r="BN139"/>
    </row>
    <row r="140" spans="38:66" hidden="1" x14ac:dyDescent="0.15">
      <c r="AL140"/>
      <c r="AM140"/>
      <c r="AN140"/>
      <c r="AO140" t="s">
        <v>189</v>
      </c>
      <c r="AP140" s="1">
        <v>23805</v>
      </c>
      <c r="AQ140" t="s">
        <v>542</v>
      </c>
      <c r="AR140" s="11">
        <f t="shared" si="6"/>
        <v>23805</v>
      </c>
      <c r="BM140"/>
      <c r="BN140"/>
    </row>
    <row r="141" spans="38:66" hidden="1" x14ac:dyDescent="0.15">
      <c r="AL141"/>
      <c r="AM141"/>
      <c r="AN141"/>
      <c r="AO141" t="s">
        <v>190</v>
      </c>
      <c r="AP141" s="1">
        <v>23806</v>
      </c>
      <c r="AQ141" t="s">
        <v>543</v>
      </c>
      <c r="AR141" s="11">
        <f t="shared" si="6"/>
        <v>23806</v>
      </c>
    </row>
    <row r="142" spans="38:66" hidden="1" x14ac:dyDescent="0.15">
      <c r="AL142"/>
      <c r="AM142"/>
      <c r="AN142"/>
      <c r="AO142" t="s">
        <v>191</v>
      </c>
      <c r="AP142" s="1">
        <v>23807</v>
      </c>
      <c r="AQ142" t="s">
        <v>544</v>
      </c>
      <c r="AR142" s="11">
        <f t="shared" si="6"/>
        <v>23807</v>
      </c>
    </row>
    <row r="143" spans="38:66" hidden="1" x14ac:dyDescent="0.15">
      <c r="AL143"/>
      <c r="AM143"/>
      <c r="AN143"/>
      <c r="AO143" t="s">
        <v>192</v>
      </c>
      <c r="AP143" s="1">
        <v>23808</v>
      </c>
      <c r="AQ143" t="s">
        <v>545</v>
      </c>
      <c r="AR143" s="11">
        <f t="shared" si="6"/>
        <v>23808</v>
      </c>
    </row>
    <row r="144" spans="38:66" hidden="1" x14ac:dyDescent="0.15">
      <c r="AL144"/>
      <c r="AM144"/>
      <c r="AN144"/>
      <c r="AO144" t="s">
        <v>193</v>
      </c>
      <c r="AP144" s="1">
        <v>23809</v>
      </c>
      <c r="AQ144" t="s">
        <v>601</v>
      </c>
      <c r="AR144" s="11">
        <f t="shared" si="6"/>
        <v>23809</v>
      </c>
    </row>
    <row r="145" spans="38:44" hidden="1" x14ac:dyDescent="0.15">
      <c r="AL145"/>
      <c r="AM145"/>
      <c r="AN145"/>
      <c r="AO145" t="s">
        <v>195</v>
      </c>
      <c r="AP145" s="1">
        <v>23810</v>
      </c>
      <c r="AQ145" t="s">
        <v>603</v>
      </c>
      <c r="AR145" s="11">
        <f t="shared" si="6"/>
        <v>23810</v>
      </c>
    </row>
    <row r="146" spans="38:44" hidden="1" x14ac:dyDescent="0.15">
      <c r="AL146"/>
      <c r="AM146"/>
      <c r="AN146"/>
      <c r="AO146" t="s">
        <v>195</v>
      </c>
      <c r="AP146" s="1">
        <v>23811</v>
      </c>
      <c r="AQ146" t="s">
        <v>605</v>
      </c>
      <c r="AR146" s="11">
        <f t="shared" si="6"/>
        <v>23811</v>
      </c>
    </row>
    <row r="147" spans="38:44" hidden="1" x14ac:dyDescent="0.15">
      <c r="AL147"/>
      <c r="AM147"/>
      <c r="AN147"/>
      <c r="AO147" t="s">
        <v>195</v>
      </c>
      <c r="AP147" s="1">
        <v>23812</v>
      </c>
      <c r="AQ147" t="s">
        <v>607</v>
      </c>
      <c r="AR147" s="11">
        <f t="shared" si="6"/>
        <v>23812</v>
      </c>
    </row>
    <row r="148" spans="38:44" hidden="1" x14ac:dyDescent="0.15">
      <c r="AL148"/>
      <c r="AM148"/>
      <c r="AN148"/>
      <c r="AO148" t="s">
        <v>200</v>
      </c>
      <c r="AP148" s="1">
        <v>30101</v>
      </c>
      <c r="AQ148" t="s">
        <v>460</v>
      </c>
      <c r="AR148" s="11">
        <f t="shared" si="6"/>
        <v>30101</v>
      </c>
    </row>
    <row r="149" spans="38:44" hidden="1" x14ac:dyDescent="0.15">
      <c r="AL149"/>
      <c r="AM149"/>
      <c r="AN149"/>
      <c r="AO149" t="s">
        <v>200</v>
      </c>
      <c r="AP149" s="1">
        <v>30102</v>
      </c>
      <c r="AQ149" t="s">
        <v>461</v>
      </c>
      <c r="AR149" s="11">
        <f t="shared" si="6"/>
        <v>30102</v>
      </c>
    </row>
    <row r="150" spans="38:44" hidden="1" x14ac:dyDescent="0.15">
      <c r="AO150" t="s">
        <v>200</v>
      </c>
      <c r="AP150" s="1">
        <v>30103</v>
      </c>
      <c r="AQ150" t="s">
        <v>406</v>
      </c>
      <c r="AR150" s="11">
        <f t="shared" si="6"/>
        <v>30103</v>
      </c>
    </row>
    <row r="151" spans="38:44" hidden="1" x14ac:dyDescent="0.15">
      <c r="AO151" t="s">
        <v>200</v>
      </c>
      <c r="AP151" s="1">
        <v>30104</v>
      </c>
      <c r="AQ151" t="s">
        <v>462</v>
      </c>
      <c r="AR151" s="11">
        <f t="shared" si="6"/>
        <v>30104</v>
      </c>
    </row>
    <row r="152" spans="38:44" hidden="1" x14ac:dyDescent="0.15">
      <c r="AO152" t="s">
        <v>200</v>
      </c>
      <c r="AP152" s="1">
        <v>30105</v>
      </c>
      <c r="AQ152" t="s">
        <v>463</v>
      </c>
      <c r="AR152" s="11">
        <f t="shared" si="6"/>
        <v>30105</v>
      </c>
    </row>
    <row r="153" spans="38:44" hidden="1" x14ac:dyDescent="0.15">
      <c r="AO153" t="s">
        <v>201</v>
      </c>
      <c r="AP153" s="1">
        <v>30201</v>
      </c>
      <c r="AQ153" t="s">
        <v>464</v>
      </c>
      <c r="AR153" s="11">
        <f t="shared" si="6"/>
        <v>30201</v>
      </c>
    </row>
    <row r="154" spans="38:44" hidden="1" x14ac:dyDescent="0.15">
      <c r="AO154" t="s">
        <v>202</v>
      </c>
      <c r="AP154" s="1">
        <v>30202</v>
      </c>
      <c r="AQ154" t="s">
        <v>465</v>
      </c>
      <c r="AR154" s="11">
        <f t="shared" si="6"/>
        <v>30202</v>
      </c>
    </row>
    <row r="155" spans="38:44" hidden="1" x14ac:dyDescent="0.15">
      <c r="AO155" t="s">
        <v>202</v>
      </c>
      <c r="AP155" s="1">
        <v>30203</v>
      </c>
      <c r="AQ155" t="s">
        <v>466</v>
      </c>
      <c r="AR155" s="11">
        <f t="shared" si="6"/>
        <v>30203</v>
      </c>
    </row>
    <row r="156" spans="38:44" hidden="1" x14ac:dyDescent="0.15">
      <c r="AO156" t="s">
        <v>203</v>
      </c>
      <c r="AP156" s="1">
        <v>30301</v>
      </c>
      <c r="AQ156" t="s">
        <v>467</v>
      </c>
      <c r="AR156" s="11">
        <f t="shared" si="6"/>
        <v>30301</v>
      </c>
    </row>
    <row r="157" spans="38:44" hidden="1" x14ac:dyDescent="0.15">
      <c r="AO157" t="s">
        <v>204</v>
      </c>
      <c r="AP157" s="1">
        <v>30302</v>
      </c>
      <c r="AQ157" t="s">
        <v>468</v>
      </c>
      <c r="AR157" s="11">
        <f t="shared" si="6"/>
        <v>30302</v>
      </c>
    </row>
    <row r="158" spans="38:44" hidden="1" x14ac:dyDescent="0.15">
      <c r="AO158" t="s">
        <v>204</v>
      </c>
      <c r="AP158" s="1">
        <v>30401</v>
      </c>
      <c r="AQ158" t="s">
        <v>469</v>
      </c>
      <c r="AR158" s="11">
        <f t="shared" si="6"/>
        <v>30401</v>
      </c>
    </row>
    <row r="159" spans="38:44" hidden="1" x14ac:dyDescent="0.15">
      <c r="AO159" t="s">
        <v>86</v>
      </c>
      <c r="AP159" s="1">
        <v>30501</v>
      </c>
      <c r="AQ159" t="s">
        <v>546</v>
      </c>
      <c r="AR159" s="11">
        <f t="shared" si="6"/>
        <v>30501</v>
      </c>
    </row>
    <row r="160" spans="38:44" hidden="1" x14ac:dyDescent="0.15">
      <c r="AO160" t="s">
        <v>87</v>
      </c>
      <c r="AP160" s="1">
        <v>30601</v>
      </c>
      <c r="AQ160" t="s">
        <v>470</v>
      </c>
      <c r="AR160" s="11">
        <f t="shared" si="6"/>
        <v>30601</v>
      </c>
    </row>
    <row r="161" spans="41:44" hidden="1" x14ac:dyDescent="0.15">
      <c r="AO161" t="s">
        <v>87</v>
      </c>
      <c r="AP161" s="1">
        <v>30602</v>
      </c>
      <c r="AQ161" t="s">
        <v>471</v>
      </c>
      <c r="AR161" s="11">
        <f t="shared" si="6"/>
        <v>30602</v>
      </c>
    </row>
    <row r="162" spans="41:44" hidden="1" x14ac:dyDescent="0.15">
      <c r="AO162" t="s">
        <v>205</v>
      </c>
      <c r="AP162" s="1">
        <v>30701</v>
      </c>
      <c r="AQ162" t="s">
        <v>547</v>
      </c>
      <c r="AR162" s="11">
        <f t="shared" si="6"/>
        <v>30701</v>
      </c>
    </row>
    <row r="163" spans="41:44" hidden="1" x14ac:dyDescent="0.15">
      <c r="AO163" t="s">
        <v>206</v>
      </c>
      <c r="AP163" s="1">
        <v>30801</v>
      </c>
      <c r="AQ163" t="s">
        <v>548</v>
      </c>
      <c r="AR163" s="11">
        <f t="shared" si="6"/>
        <v>30801</v>
      </c>
    </row>
    <row r="164" spans="41:44" hidden="1" x14ac:dyDescent="0.15">
      <c r="AO164" t="s">
        <v>208</v>
      </c>
      <c r="AP164" s="1">
        <v>30901</v>
      </c>
      <c r="AQ164" t="s">
        <v>549</v>
      </c>
      <c r="AR164" s="11">
        <f t="shared" si="6"/>
        <v>30901</v>
      </c>
    </row>
    <row r="165" spans="41:44" hidden="1" x14ac:dyDescent="0.15">
      <c r="AO165" t="s">
        <v>209</v>
      </c>
      <c r="AP165" s="1">
        <v>31001</v>
      </c>
      <c r="AQ165" t="s">
        <v>472</v>
      </c>
      <c r="AR165" s="11">
        <f t="shared" si="6"/>
        <v>31001</v>
      </c>
    </row>
    <row r="166" spans="41:44" hidden="1" x14ac:dyDescent="0.15">
      <c r="AO166" t="s">
        <v>209</v>
      </c>
      <c r="AP166" s="1">
        <v>31002</v>
      </c>
      <c r="AQ166" t="s">
        <v>473</v>
      </c>
      <c r="AR166" s="11">
        <f t="shared" si="6"/>
        <v>31002</v>
      </c>
    </row>
    <row r="167" spans="41:44" hidden="1" x14ac:dyDescent="0.15">
      <c r="AO167" t="s">
        <v>210</v>
      </c>
      <c r="AP167" s="1">
        <v>31101</v>
      </c>
      <c r="AQ167" t="s">
        <v>474</v>
      </c>
      <c r="AR167" s="11">
        <f t="shared" si="6"/>
        <v>31101</v>
      </c>
    </row>
    <row r="168" spans="41:44" hidden="1" x14ac:dyDescent="0.15">
      <c r="AO168" t="s">
        <v>211</v>
      </c>
      <c r="AP168" s="1">
        <v>40101</v>
      </c>
      <c r="AQ168" t="s">
        <v>475</v>
      </c>
      <c r="AR168" s="11">
        <f t="shared" si="6"/>
        <v>40101</v>
      </c>
    </row>
    <row r="169" spans="41:44" hidden="1" x14ac:dyDescent="0.15">
      <c r="AO169" t="s">
        <v>211</v>
      </c>
      <c r="AP169" s="1">
        <v>40102</v>
      </c>
      <c r="AQ169" t="s">
        <v>476</v>
      </c>
      <c r="AR169" s="11">
        <f t="shared" si="6"/>
        <v>40102</v>
      </c>
    </row>
    <row r="170" spans="41:44" hidden="1" x14ac:dyDescent="0.15">
      <c r="AO170" t="s">
        <v>211</v>
      </c>
      <c r="AP170" s="1">
        <v>40103</v>
      </c>
      <c r="AQ170" t="s">
        <v>477</v>
      </c>
      <c r="AR170" s="11">
        <f t="shared" si="6"/>
        <v>40103</v>
      </c>
    </row>
    <row r="171" spans="41:44" hidden="1" x14ac:dyDescent="0.15">
      <c r="AO171" t="s">
        <v>211</v>
      </c>
      <c r="AP171" s="1">
        <v>40104</v>
      </c>
      <c r="AQ171" t="s">
        <v>478</v>
      </c>
      <c r="AR171" s="11">
        <f t="shared" si="6"/>
        <v>40104</v>
      </c>
    </row>
    <row r="172" spans="41:44" hidden="1" x14ac:dyDescent="0.15">
      <c r="AO172" t="s">
        <v>211</v>
      </c>
      <c r="AP172" s="1">
        <v>40105</v>
      </c>
      <c r="AQ172" t="s">
        <v>479</v>
      </c>
      <c r="AR172" s="11">
        <f t="shared" si="6"/>
        <v>40105</v>
      </c>
    </row>
    <row r="173" spans="41:44" hidden="1" x14ac:dyDescent="0.15">
      <c r="AO173" t="s">
        <v>211</v>
      </c>
      <c r="AP173" s="1">
        <v>40106</v>
      </c>
      <c r="AQ173" t="s">
        <v>480</v>
      </c>
      <c r="AR173" s="11">
        <f t="shared" si="6"/>
        <v>40106</v>
      </c>
    </row>
    <row r="174" spans="41:44" hidden="1" x14ac:dyDescent="0.15">
      <c r="AO174" t="s">
        <v>214</v>
      </c>
      <c r="AP174" s="1">
        <v>40201</v>
      </c>
      <c r="AQ174" t="s">
        <v>481</v>
      </c>
      <c r="AR174" s="11">
        <f t="shared" si="6"/>
        <v>40201</v>
      </c>
    </row>
    <row r="175" spans="41:44" hidden="1" x14ac:dyDescent="0.15">
      <c r="AO175" t="s">
        <v>214</v>
      </c>
      <c r="AP175" s="1">
        <v>40202</v>
      </c>
      <c r="AQ175" t="s">
        <v>482</v>
      </c>
      <c r="AR175" s="11">
        <f t="shared" si="6"/>
        <v>40202</v>
      </c>
    </row>
    <row r="176" spans="41:44" hidden="1" x14ac:dyDescent="0.15">
      <c r="AO176" t="s">
        <v>214</v>
      </c>
      <c r="AP176" s="1">
        <v>40203</v>
      </c>
      <c r="AQ176" t="s">
        <v>483</v>
      </c>
      <c r="AR176" s="11">
        <f t="shared" si="6"/>
        <v>40203</v>
      </c>
    </row>
    <row r="177" spans="41:44" hidden="1" x14ac:dyDescent="0.15">
      <c r="AO177" t="s">
        <v>214</v>
      </c>
      <c r="AP177" s="1">
        <v>40204</v>
      </c>
      <c r="AQ177" t="s">
        <v>484</v>
      </c>
      <c r="AR177" s="11">
        <f t="shared" si="6"/>
        <v>40204</v>
      </c>
    </row>
    <row r="178" spans="41:44" hidden="1" x14ac:dyDescent="0.15">
      <c r="AO178" t="s">
        <v>214</v>
      </c>
      <c r="AP178" s="1">
        <v>40205</v>
      </c>
      <c r="AQ178" t="s">
        <v>485</v>
      </c>
      <c r="AR178" s="11">
        <f t="shared" si="6"/>
        <v>40205</v>
      </c>
    </row>
    <row r="179" spans="41:44" hidden="1" x14ac:dyDescent="0.15">
      <c r="AO179" t="s">
        <v>214</v>
      </c>
      <c r="AP179" s="1">
        <v>40206</v>
      </c>
      <c r="AQ179" t="s">
        <v>486</v>
      </c>
      <c r="AR179" s="11">
        <f t="shared" si="6"/>
        <v>40206</v>
      </c>
    </row>
    <row r="180" spans="41:44" hidden="1" x14ac:dyDescent="0.15">
      <c r="AO180" t="s">
        <v>214</v>
      </c>
      <c r="AP180" s="1">
        <v>40207</v>
      </c>
      <c r="AQ180" t="s">
        <v>487</v>
      </c>
      <c r="AR180" s="11">
        <f t="shared" si="6"/>
        <v>40207</v>
      </c>
    </row>
    <row r="181" spans="41:44" hidden="1" x14ac:dyDescent="0.15">
      <c r="AO181" t="s">
        <v>214</v>
      </c>
      <c r="AP181" s="1">
        <v>40208</v>
      </c>
      <c r="AQ181" t="s">
        <v>488</v>
      </c>
      <c r="AR181" s="11">
        <f t="shared" si="6"/>
        <v>40208</v>
      </c>
    </row>
    <row r="182" spans="41:44" hidden="1" x14ac:dyDescent="0.15">
      <c r="AO182" t="s">
        <v>214</v>
      </c>
      <c r="AP182" s="1">
        <v>40209</v>
      </c>
      <c r="AQ182" t="s">
        <v>489</v>
      </c>
      <c r="AR182" s="11">
        <f t="shared" si="6"/>
        <v>40209</v>
      </c>
    </row>
    <row r="183" spans="41:44" hidden="1" x14ac:dyDescent="0.15">
      <c r="AO183" t="s">
        <v>214</v>
      </c>
      <c r="AP183" s="1">
        <v>40210</v>
      </c>
      <c r="AQ183" t="s">
        <v>490</v>
      </c>
      <c r="AR183" s="11">
        <f t="shared" si="6"/>
        <v>40210</v>
      </c>
    </row>
    <row r="184" spans="41:44" hidden="1" x14ac:dyDescent="0.15">
      <c r="AO184" t="s">
        <v>214</v>
      </c>
      <c r="AP184" s="1">
        <v>40211</v>
      </c>
      <c r="AQ184" t="s">
        <v>491</v>
      </c>
      <c r="AR184" s="11">
        <f t="shared" si="6"/>
        <v>40211</v>
      </c>
    </row>
    <row r="185" spans="41:44" hidden="1" x14ac:dyDescent="0.15">
      <c r="AO185" t="s">
        <v>214</v>
      </c>
      <c r="AP185" s="1">
        <v>40212</v>
      </c>
      <c r="AQ185" t="s">
        <v>492</v>
      </c>
      <c r="AR185" s="11">
        <f t="shared" ref="AR185:AR236" si="7">AP185</f>
        <v>40212</v>
      </c>
    </row>
    <row r="186" spans="41:44" hidden="1" x14ac:dyDescent="0.15">
      <c r="AO186" t="s">
        <v>214</v>
      </c>
      <c r="AP186" s="1">
        <v>40213</v>
      </c>
      <c r="AQ186" t="s">
        <v>493</v>
      </c>
      <c r="AR186" s="11">
        <f t="shared" si="7"/>
        <v>40213</v>
      </c>
    </row>
    <row r="187" spans="41:44" hidden="1" x14ac:dyDescent="0.15">
      <c r="AO187" t="s">
        <v>214</v>
      </c>
      <c r="AP187" s="1">
        <v>40214</v>
      </c>
      <c r="AQ187" t="s">
        <v>494</v>
      </c>
      <c r="AR187" s="11">
        <f t="shared" si="7"/>
        <v>40214</v>
      </c>
    </row>
    <row r="188" spans="41:44" hidden="1" x14ac:dyDescent="0.15">
      <c r="AO188" t="s">
        <v>214</v>
      </c>
      <c r="AP188" s="1">
        <v>40215</v>
      </c>
      <c r="AQ188" t="s">
        <v>495</v>
      </c>
      <c r="AR188" s="11">
        <f t="shared" si="7"/>
        <v>40215</v>
      </c>
    </row>
    <row r="189" spans="41:44" hidden="1" x14ac:dyDescent="0.15">
      <c r="AO189" t="s">
        <v>214</v>
      </c>
      <c r="AP189" s="1">
        <v>40216</v>
      </c>
      <c r="AQ189" t="s">
        <v>496</v>
      </c>
      <c r="AR189" s="11">
        <f t="shared" si="7"/>
        <v>40216</v>
      </c>
    </row>
    <row r="190" spans="41:44" hidden="1" x14ac:dyDescent="0.15">
      <c r="AO190" t="s">
        <v>215</v>
      </c>
      <c r="AP190" s="1">
        <v>40301</v>
      </c>
      <c r="AQ190" t="s">
        <v>497</v>
      </c>
      <c r="AR190" s="11">
        <f t="shared" si="7"/>
        <v>40301</v>
      </c>
    </row>
    <row r="191" spans="41:44" hidden="1" x14ac:dyDescent="0.15">
      <c r="AO191" t="s">
        <v>215</v>
      </c>
      <c r="AP191" s="1">
        <v>40302</v>
      </c>
      <c r="AQ191" t="s">
        <v>498</v>
      </c>
      <c r="AR191" s="11">
        <f t="shared" si="7"/>
        <v>40302</v>
      </c>
    </row>
    <row r="192" spans="41:44" hidden="1" x14ac:dyDescent="0.15">
      <c r="AO192" t="s">
        <v>215</v>
      </c>
      <c r="AP192" s="1">
        <v>40303</v>
      </c>
      <c r="AQ192" t="s">
        <v>499</v>
      </c>
      <c r="AR192" s="11">
        <f t="shared" si="7"/>
        <v>40303</v>
      </c>
    </row>
    <row r="193" spans="41:44" hidden="1" x14ac:dyDescent="0.15">
      <c r="AO193" t="s">
        <v>215</v>
      </c>
      <c r="AP193" s="1">
        <v>40304</v>
      </c>
      <c r="AQ193" t="s">
        <v>500</v>
      </c>
      <c r="AR193" s="11">
        <f t="shared" si="7"/>
        <v>40304</v>
      </c>
    </row>
    <row r="194" spans="41:44" hidden="1" x14ac:dyDescent="0.15">
      <c r="AO194" t="s">
        <v>215</v>
      </c>
      <c r="AP194" s="1">
        <v>40305</v>
      </c>
      <c r="AQ194" t="s">
        <v>501</v>
      </c>
      <c r="AR194" s="11">
        <f t="shared" si="7"/>
        <v>40305</v>
      </c>
    </row>
    <row r="195" spans="41:44" hidden="1" x14ac:dyDescent="0.15">
      <c r="AO195" t="s">
        <v>215</v>
      </c>
      <c r="AP195" s="1">
        <v>40306</v>
      </c>
      <c r="AQ195" t="s">
        <v>502</v>
      </c>
      <c r="AR195" s="11">
        <f t="shared" si="7"/>
        <v>40306</v>
      </c>
    </row>
    <row r="196" spans="41:44" hidden="1" x14ac:dyDescent="0.15">
      <c r="AO196" t="s">
        <v>215</v>
      </c>
      <c r="AP196" s="1">
        <v>40307</v>
      </c>
      <c r="AQ196" t="s">
        <v>503</v>
      </c>
      <c r="AR196" s="11">
        <f t="shared" si="7"/>
        <v>40307</v>
      </c>
    </row>
    <row r="197" spans="41:44" hidden="1" x14ac:dyDescent="0.15">
      <c r="AO197" t="s">
        <v>215</v>
      </c>
      <c r="AP197" s="1">
        <v>40308</v>
      </c>
      <c r="AQ197" t="s">
        <v>504</v>
      </c>
      <c r="AR197" s="11">
        <f t="shared" si="7"/>
        <v>40308</v>
      </c>
    </row>
    <row r="198" spans="41:44" hidden="1" x14ac:dyDescent="0.15">
      <c r="AO198" t="s">
        <v>218</v>
      </c>
      <c r="AP198" s="1">
        <v>40401</v>
      </c>
      <c r="AQ198" t="s">
        <v>505</v>
      </c>
      <c r="AR198" s="11">
        <f t="shared" si="7"/>
        <v>40401</v>
      </c>
    </row>
    <row r="199" spans="41:44" hidden="1" x14ac:dyDescent="0.15">
      <c r="AO199" t="s">
        <v>218</v>
      </c>
      <c r="AP199" s="1">
        <v>40402</v>
      </c>
      <c r="AQ199" t="s">
        <v>506</v>
      </c>
      <c r="AR199" s="11">
        <f t="shared" si="7"/>
        <v>40402</v>
      </c>
    </row>
    <row r="200" spans="41:44" hidden="1" x14ac:dyDescent="0.15">
      <c r="AO200" t="s">
        <v>218</v>
      </c>
      <c r="AP200" s="1">
        <v>40403</v>
      </c>
      <c r="AQ200" t="s">
        <v>507</v>
      </c>
      <c r="AR200" s="11">
        <f t="shared" si="7"/>
        <v>40403</v>
      </c>
    </row>
    <row r="201" spans="41:44" hidden="1" x14ac:dyDescent="0.15">
      <c r="AO201" t="s">
        <v>218</v>
      </c>
      <c r="AP201" s="1">
        <v>40404</v>
      </c>
      <c r="AQ201" t="s">
        <v>508</v>
      </c>
      <c r="AR201" s="11">
        <f t="shared" si="7"/>
        <v>40404</v>
      </c>
    </row>
    <row r="202" spans="41:44" hidden="1" x14ac:dyDescent="0.15">
      <c r="AO202" t="s">
        <v>219</v>
      </c>
      <c r="AP202" s="1">
        <v>40501</v>
      </c>
      <c r="AQ202" t="s">
        <v>509</v>
      </c>
      <c r="AR202" s="11">
        <f t="shared" si="7"/>
        <v>40501</v>
      </c>
    </row>
    <row r="203" spans="41:44" hidden="1" x14ac:dyDescent="0.15">
      <c r="AO203" t="s">
        <v>219</v>
      </c>
      <c r="AP203" s="1">
        <v>40502</v>
      </c>
      <c r="AQ203" t="s">
        <v>510</v>
      </c>
      <c r="AR203" s="11">
        <f t="shared" si="7"/>
        <v>40502</v>
      </c>
    </row>
    <row r="204" spans="41:44" hidden="1" x14ac:dyDescent="0.15">
      <c r="AO204" t="s">
        <v>219</v>
      </c>
      <c r="AP204" s="1">
        <v>40503</v>
      </c>
      <c r="AQ204" t="s">
        <v>511</v>
      </c>
      <c r="AR204" s="11">
        <f t="shared" si="7"/>
        <v>40503</v>
      </c>
    </row>
    <row r="205" spans="41:44" hidden="1" x14ac:dyDescent="0.15">
      <c r="AO205" t="s">
        <v>219</v>
      </c>
      <c r="AP205" s="1">
        <v>40504</v>
      </c>
      <c r="AQ205" t="s">
        <v>512</v>
      </c>
      <c r="AR205" s="11">
        <f t="shared" si="7"/>
        <v>40504</v>
      </c>
    </row>
    <row r="206" spans="41:44" hidden="1" x14ac:dyDescent="0.15">
      <c r="AO206" t="s">
        <v>217</v>
      </c>
      <c r="AP206" s="1">
        <v>40601</v>
      </c>
      <c r="AQ206" t="s">
        <v>513</v>
      </c>
      <c r="AR206" s="11">
        <f t="shared" si="7"/>
        <v>40601</v>
      </c>
    </row>
    <row r="207" spans="41:44" hidden="1" x14ac:dyDescent="0.15">
      <c r="AO207" t="s">
        <v>217</v>
      </c>
      <c r="AP207" s="1">
        <v>40602</v>
      </c>
      <c r="AQ207" t="s">
        <v>514</v>
      </c>
      <c r="AR207" s="11">
        <f t="shared" si="7"/>
        <v>40602</v>
      </c>
    </row>
    <row r="208" spans="41:44" hidden="1" x14ac:dyDescent="0.15">
      <c r="AO208" t="s">
        <v>217</v>
      </c>
      <c r="AP208" s="1">
        <v>40603</v>
      </c>
      <c r="AQ208" t="s">
        <v>515</v>
      </c>
      <c r="AR208" s="11">
        <f t="shared" si="7"/>
        <v>40603</v>
      </c>
    </row>
    <row r="209" spans="41:44" hidden="1" x14ac:dyDescent="0.15">
      <c r="AO209" t="s">
        <v>217</v>
      </c>
      <c r="AP209" s="1">
        <v>40604</v>
      </c>
      <c r="AQ209" t="s">
        <v>516</v>
      </c>
      <c r="AR209" s="11">
        <f t="shared" si="7"/>
        <v>40604</v>
      </c>
    </row>
    <row r="210" spans="41:44" hidden="1" x14ac:dyDescent="0.15">
      <c r="AO210" t="s">
        <v>217</v>
      </c>
      <c r="AP210" s="1">
        <v>40605</v>
      </c>
      <c r="AQ210" t="s">
        <v>517</v>
      </c>
      <c r="AR210" s="11">
        <f t="shared" si="7"/>
        <v>40605</v>
      </c>
    </row>
    <row r="211" spans="41:44" hidden="1" x14ac:dyDescent="0.15">
      <c r="AO211" t="s">
        <v>217</v>
      </c>
      <c r="AP211" s="1">
        <v>40606</v>
      </c>
      <c r="AQ211" t="s">
        <v>518</v>
      </c>
      <c r="AR211" s="11">
        <f t="shared" si="7"/>
        <v>40606</v>
      </c>
    </row>
    <row r="212" spans="41:44" hidden="1" x14ac:dyDescent="0.15">
      <c r="AO212" t="s">
        <v>552</v>
      </c>
      <c r="AP212" s="1">
        <v>50101</v>
      </c>
      <c r="AQ212" t="s">
        <v>554</v>
      </c>
      <c r="AR212" s="11">
        <f t="shared" si="7"/>
        <v>50101</v>
      </c>
    </row>
    <row r="213" spans="41:44" hidden="1" x14ac:dyDescent="0.15">
      <c r="AO213" t="s">
        <v>552</v>
      </c>
      <c r="AP213" s="1">
        <v>50102</v>
      </c>
      <c r="AQ213" t="s">
        <v>553</v>
      </c>
      <c r="AR213" s="11">
        <f t="shared" si="7"/>
        <v>50102</v>
      </c>
    </row>
    <row r="214" spans="41:44" hidden="1" x14ac:dyDescent="0.15">
      <c r="AO214" t="s">
        <v>552</v>
      </c>
      <c r="AP214" s="1">
        <v>50103</v>
      </c>
      <c r="AQ214" t="s">
        <v>555</v>
      </c>
      <c r="AR214" s="11">
        <f t="shared" si="7"/>
        <v>50103</v>
      </c>
    </row>
    <row r="215" spans="41:44" hidden="1" x14ac:dyDescent="0.15">
      <c r="AO215" t="s">
        <v>552</v>
      </c>
      <c r="AP215" s="1">
        <v>50104</v>
      </c>
      <c r="AQ215" t="s">
        <v>556</v>
      </c>
      <c r="AR215" s="11">
        <f t="shared" si="7"/>
        <v>50104</v>
      </c>
    </row>
    <row r="216" spans="41:44" hidden="1" x14ac:dyDescent="0.15">
      <c r="AO216" t="s">
        <v>552</v>
      </c>
      <c r="AP216" s="1">
        <v>50105</v>
      </c>
      <c r="AQ216" t="s">
        <v>557</v>
      </c>
      <c r="AR216" s="11">
        <f t="shared" si="7"/>
        <v>50105</v>
      </c>
    </row>
    <row r="217" spans="41:44" hidden="1" x14ac:dyDescent="0.15">
      <c r="AO217" t="s">
        <v>552</v>
      </c>
      <c r="AP217" s="1">
        <v>50106</v>
      </c>
      <c r="AQ217" t="s">
        <v>558</v>
      </c>
      <c r="AR217" s="11">
        <f t="shared" si="7"/>
        <v>50106</v>
      </c>
    </row>
    <row r="218" spans="41:44" hidden="1" x14ac:dyDescent="0.15">
      <c r="AO218" t="s">
        <v>559</v>
      </c>
      <c r="AP218" s="1">
        <v>50201</v>
      </c>
      <c r="AQ218" t="s">
        <v>613</v>
      </c>
      <c r="AR218" s="11">
        <f t="shared" si="7"/>
        <v>50201</v>
      </c>
    </row>
    <row r="219" spans="41:44" hidden="1" x14ac:dyDescent="0.15">
      <c r="AO219" t="s">
        <v>559</v>
      </c>
      <c r="AP219" s="1">
        <v>50202</v>
      </c>
      <c r="AQ219" t="s">
        <v>615</v>
      </c>
      <c r="AR219" s="11">
        <f t="shared" si="7"/>
        <v>50202</v>
      </c>
    </row>
    <row r="220" spans="41:44" hidden="1" x14ac:dyDescent="0.15">
      <c r="AO220" t="s">
        <v>559</v>
      </c>
      <c r="AP220" s="1">
        <v>50203</v>
      </c>
      <c r="AQ220" t="s">
        <v>617</v>
      </c>
      <c r="AR220" s="11">
        <f t="shared" si="7"/>
        <v>50203</v>
      </c>
    </row>
    <row r="221" spans="41:44" hidden="1" x14ac:dyDescent="0.15">
      <c r="AO221" t="s">
        <v>559</v>
      </c>
      <c r="AP221" s="1">
        <v>50204</v>
      </c>
      <c r="AQ221" t="s">
        <v>619</v>
      </c>
      <c r="AR221" s="11">
        <f t="shared" si="7"/>
        <v>50204</v>
      </c>
    </row>
    <row r="222" spans="41:44" hidden="1" x14ac:dyDescent="0.15">
      <c r="AO222" t="s">
        <v>560</v>
      </c>
      <c r="AP222" s="1">
        <v>50301</v>
      </c>
      <c r="AQ222" t="s">
        <v>575</v>
      </c>
      <c r="AR222" s="11">
        <f t="shared" si="7"/>
        <v>50301</v>
      </c>
    </row>
    <row r="223" spans="41:44" hidden="1" x14ac:dyDescent="0.15">
      <c r="AO223" t="s">
        <v>560</v>
      </c>
      <c r="AP223" s="1">
        <v>50302</v>
      </c>
      <c r="AQ223" t="s">
        <v>576</v>
      </c>
      <c r="AR223" s="11">
        <f t="shared" si="7"/>
        <v>50302</v>
      </c>
    </row>
    <row r="224" spans="41:44" hidden="1" x14ac:dyDescent="0.15">
      <c r="AO224" t="s">
        <v>560</v>
      </c>
      <c r="AP224" s="1">
        <v>50303</v>
      </c>
      <c r="AQ224" t="s">
        <v>577</v>
      </c>
      <c r="AR224" s="11">
        <f t="shared" si="7"/>
        <v>50303</v>
      </c>
    </row>
    <row r="225" spans="41:44" hidden="1" x14ac:dyDescent="0.15">
      <c r="AO225" t="s">
        <v>560</v>
      </c>
      <c r="AP225" s="1">
        <v>50304</v>
      </c>
      <c r="AQ225" t="s">
        <v>620</v>
      </c>
      <c r="AR225" s="11">
        <f t="shared" si="7"/>
        <v>50304</v>
      </c>
    </row>
    <row r="226" spans="41:44" hidden="1" x14ac:dyDescent="0.15">
      <c r="AO226" t="s">
        <v>561</v>
      </c>
      <c r="AP226" s="1">
        <v>50401</v>
      </c>
      <c r="AQ226" t="s">
        <v>568</v>
      </c>
      <c r="AR226" s="11">
        <f t="shared" si="7"/>
        <v>50401</v>
      </c>
    </row>
    <row r="227" spans="41:44" hidden="1" x14ac:dyDescent="0.15">
      <c r="AO227" t="s">
        <v>561</v>
      </c>
      <c r="AP227" s="1">
        <v>50402</v>
      </c>
      <c r="AQ227" t="s">
        <v>569</v>
      </c>
      <c r="AR227" s="11">
        <f t="shared" si="7"/>
        <v>50402</v>
      </c>
    </row>
    <row r="228" spans="41:44" hidden="1" x14ac:dyDescent="0.15">
      <c r="AO228" t="s">
        <v>561</v>
      </c>
      <c r="AP228" s="1">
        <v>50403</v>
      </c>
      <c r="AQ228" t="s">
        <v>570</v>
      </c>
      <c r="AR228" s="11">
        <f t="shared" si="7"/>
        <v>50403</v>
      </c>
    </row>
    <row r="229" spans="41:44" hidden="1" x14ac:dyDescent="0.15">
      <c r="AO229" t="s">
        <v>561</v>
      </c>
      <c r="AP229" s="1">
        <v>50404</v>
      </c>
      <c r="AQ229" t="s">
        <v>571</v>
      </c>
      <c r="AR229" s="11">
        <f t="shared" si="7"/>
        <v>50404</v>
      </c>
    </row>
    <row r="230" spans="41:44" hidden="1" x14ac:dyDescent="0.15">
      <c r="AO230" t="s">
        <v>562</v>
      </c>
      <c r="AP230" s="1">
        <v>50501</v>
      </c>
      <c r="AQ230" t="s">
        <v>572</v>
      </c>
      <c r="AR230" s="11">
        <f t="shared" si="7"/>
        <v>50501</v>
      </c>
    </row>
    <row r="231" spans="41:44" hidden="1" x14ac:dyDescent="0.15">
      <c r="AO231" t="s">
        <v>562</v>
      </c>
      <c r="AP231" s="1">
        <v>50502</v>
      </c>
      <c r="AQ231" t="s">
        <v>573</v>
      </c>
      <c r="AR231" s="11">
        <f t="shared" si="7"/>
        <v>50502</v>
      </c>
    </row>
    <row r="232" spans="41:44" hidden="1" x14ac:dyDescent="0.15">
      <c r="AO232" t="s">
        <v>562</v>
      </c>
      <c r="AP232" s="1">
        <v>50503</v>
      </c>
      <c r="AQ232" t="s">
        <v>563</v>
      </c>
      <c r="AR232" s="11">
        <f t="shared" si="7"/>
        <v>50503</v>
      </c>
    </row>
    <row r="233" spans="41:44" hidden="1" x14ac:dyDescent="0.15">
      <c r="AO233" t="s">
        <v>574</v>
      </c>
      <c r="AP233" s="1">
        <v>50601</v>
      </c>
      <c r="AQ233" t="s">
        <v>564</v>
      </c>
      <c r="AR233" s="11">
        <f t="shared" si="7"/>
        <v>50601</v>
      </c>
    </row>
    <row r="234" spans="41:44" hidden="1" x14ac:dyDescent="0.15">
      <c r="AO234" t="s">
        <v>574</v>
      </c>
      <c r="AP234" s="1">
        <v>50602</v>
      </c>
      <c r="AQ234" t="s">
        <v>565</v>
      </c>
      <c r="AR234" s="11">
        <f t="shared" si="7"/>
        <v>50602</v>
      </c>
    </row>
    <row r="235" spans="41:44" hidden="1" x14ac:dyDescent="0.15">
      <c r="AO235" t="s">
        <v>574</v>
      </c>
      <c r="AP235" s="1">
        <v>50603</v>
      </c>
      <c r="AQ235" t="s">
        <v>566</v>
      </c>
      <c r="AR235" s="11">
        <f t="shared" si="7"/>
        <v>50603</v>
      </c>
    </row>
    <row r="236" spans="41:44" hidden="1" x14ac:dyDescent="0.15">
      <c r="AO236" t="s">
        <v>574</v>
      </c>
      <c r="AP236" s="1">
        <v>50604</v>
      </c>
      <c r="AQ236" t="s">
        <v>567</v>
      </c>
      <c r="AR236" s="11">
        <f t="shared" si="7"/>
        <v>50604</v>
      </c>
    </row>
    <row r="237" spans="41:44" hidden="1" x14ac:dyDescent="0.15"/>
    <row r="238" spans="41:44" hidden="1" x14ac:dyDescent="0.15"/>
    <row r="239" spans="41:44" hidden="1" x14ac:dyDescent="0.15"/>
    <row r="240" spans="41:44"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hidden="1" x14ac:dyDescent="0.15"/>
    <row r="386" hidden="1" x14ac:dyDescent="0.15"/>
    <row r="387" hidden="1" x14ac:dyDescent="0.15"/>
    <row r="388" hidden="1" x14ac:dyDescent="0.15"/>
    <row r="389" hidden="1" x14ac:dyDescent="0.15"/>
    <row r="390" hidden="1" x14ac:dyDescent="0.15"/>
    <row r="391" hidden="1" x14ac:dyDescent="0.15"/>
    <row r="392" hidden="1" x14ac:dyDescent="0.15"/>
    <row r="393" hidden="1" x14ac:dyDescent="0.15"/>
    <row r="394" hidden="1" x14ac:dyDescent="0.15"/>
    <row r="395" hidden="1" x14ac:dyDescent="0.15"/>
    <row r="396" hidden="1" x14ac:dyDescent="0.15"/>
    <row r="397" hidden="1" x14ac:dyDescent="0.15"/>
    <row r="398" hidden="1" x14ac:dyDescent="0.15"/>
    <row r="399" hidden="1" x14ac:dyDescent="0.15"/>
    <row r="400" hidden="1" x14ac:dyDescent="0.15"/>
    <row r="401" hidden="1" x14ac:dyDescent="0.15"/>
    <row r="402" hidden="1" x14ac:dyDescent="0.15"/>
    <row r="403" hidden="1" x14ac:dyDescent="0.15"/>
    <row r="404" hidden="1" x14ac:dyDescent="0.15"/>
    <row r="405" hidden="1" x14ac:dyDescent="0.15"/>
    <row r="406" hidden="1" x14ac:dyDescent="0.15"/>
    <row r="407" hidden="1" x14ac:dyDescent="0.15"/>
    <row r="408" hidden="1" x14ac:dyDescent="0.15"/>
    <row r="409" hidden="1" x14ac:dyDescent="0.15"/>
    <row r="410" hidden="1" x14ac:dyDescent="0.15"/>
    <row r="411" hidden="1" x14ac:dyDescent="0.15"/>
    <row r="412" hidden="1" x14ac:dyDescent="0.15"/>
    <row r="413" hidden="1" x14ac:dyDescent="0.15"/>
    <row r="414" hidden="1" x14ac:dyDescent="0.15"/>
    <row r="415" hidden="1" x14ac:dyDescent="0.15"/>
    <row r="416" hidden="1" x14ac:dyDescent="0.15"/>
    <row r="417" hidden="1" x14ac:dyDescent="0.15"/>
    <row r="418" hidden="1" x14ac:dyDescent="0.15"/>
    <row r="419" hidden="1" x14ac:dyDescent="0.15"/>
    <row r="420" hidden="1" x14ac:dyDescent="0.15"/>
    <row r="421" hidden="1" x14ac:dyDescent="0.15"/>
    <row r="422" hidden="1" x14ac:dyDescent="0.15"/>
    <row r="423" hidden="1" x14ac:dyDescent="0.15"/>
    <row r="424" hidden="1" x14ac:dyDescent="0.15"/>
    <row r="425" hidden="1" x14ac:dyDescent="0.15"/>
    <row r="426" hidden="1" x14ac:dyDescent="0.15"/>
    <row r="427" hidden="1" x14ac:dyDescent="0.15"/>
    <row r="428" hidden="1" x14ac:dyDescent="0.15"/>
    <row r="429" hidden="1" x14ac:dyDescent="0.15"/>
    <row r="430" hidden="1" x14ac:dyDescent="0.15"/>
    <row r="431" hidden="1" x14ac:dyDescent="0.15"/>
    <row r="432" hidden="1" x14ac:dyDescent="0.15"/>
    <row r="433" hidden="1" x14ac:dyDescent="0.15"/>
    <row r="434" hidden="1" x14ac:dyDescent="0.15"/>
    <row r="435" hidden="1" x14ac:dyDescent="0.15"/>
    <row r="436" hidden="1" x14ac:dyDescent="0.15"/>
    <row r="437" hidden="1" x14ac:dyDescent="0.15"/>
    <row r="438" hidden="1" x14ac:dyDescent="0.15"/>
    <row r="439" hidden="1" x14ac:dyDescent="0.15"/>
    <row r="440" hidden="1" x14ac:dyDescent="0.15"/>
    <row r="441" hidden="1" x14ac:dyDescent="0.15"/>
    <row r="442" hidden="1" x14ac:dyDescent="0.15"/>
    <row r="443" hidden="1" x14ac:dyDescent="0.15"/>
    <row r="444" hidden="1" x14ac:dyDescent="0.15"/>
    <row r="445" hidden="1" x14ac:dyDescent="0.15"/>
    <row r="446" hidden="1" x14ac:dyDescent="0.15"/>
    <row r="447" hidden="1" x14ac:dyDescent="0.15"/>
    <row r="448" hidden="1" x14ac:dyDescent="0.15"/>
    <row r="449" hidden="1" x14ac:dyDescent="0.15"/>
    <row r="450" hidden="1" x14ac:dyDescent="0.15"/>
    <row r="451" hidden="1" x14ac:dyDescent="0.15"/>
    <row r="452" hidden="1" x14ac:dyDescent="0.15"/>
    <row r="453" hidden="1" x14ac:dyDescent="0.15"/>
    <row r="454" hidden="1" x14ac:dyDescent="0.15"/>
    <row r="455" hidden="1" x14ac:dyDescent="0.15"/>
    <row r="456" hidden="1" x14ac:dyDescent="0.15"/>
    <row r="457" hidden="1" x14ac:dyDescent="0.15"/>
    <row r="458" hidden="1" x14ac:dyDescent="0.15"/>
    <row r="459" hidden="1" x14ac:dyDescent="0.15"/>
    <row r="460" hidden="1" x14ac:dyDescent="0.15"/>
    <row r="461" hidden="1" x14ac:dyDescent="0.15"/>
    <row r="462" hidden="1" x14ac:dyDescent="0.15"/>
    <row r="463" hidden="1" x14ac:dyDescent="0.15"/>
    <row r="464" hidden="1" x14ac:dyDescent="0.15"/>
    <row r="465" hidden="1" x14ac:dyDescent="0.15"/>
    <row r="466" hidden="1" x14ac:dyDescent="0.15"/>
    <row r="467" hidden="1" x14ac:dyDescent="0.15"/>
    <row r="468" hidden="1" x14ac:dyDescent="0.15"/>
    <row r="469" hidden="1" x14ac:dyDescent="0.15"/>
    <row r="470" hidden="1" x14ac:dyDescent="0.15"/>
    <row r="471" hidden="1" x14ac:dyDescent="0.15"/>
    <row r="472" hidden="1" x14ac:dyDescent="0.15"/>
    <row r="473" hidden="1" x14ac:dyDescent="0.15"/>
    <row r="474" hidden="1" x14ac:dyDescent="0.15"/>
    <row r="475" hidden="1" x14ac:dyDescent="0.15"/>
    <row r="476" hidden="1" x14ac:dyDescent="0.15"/>
    <row r="477" hidden="1" x14ac:dyDescent="0.15"/>
    <row r="478" hidden="1" x14ac:dyDescent="0.15"/>
    <row r="479" hidden="1" x14ac:dyDescent="0.15"/>
    <row r="480" hidden="1" x14ac:dyDescent="0.15"/>
    <row r="481" hidden="1" x14ac:dyDescent="0.15"/>
    <row r="482" hidden="1" x14ac:dyDescent="0.15"/>
    <row r="483" hidden="1" x14ac:dyDescent="0.15"/>
    <row r="484" hidden="1" x14ac:dyDescent="0.15"/>
    <row r="485" hidden="1" x14ac:dyDescent="0.15"/>
    <row r="486" hidden="1" x14ac:dyDescent="0.15"/>
    <row r="487" hidden="1" x14ac:dyDescent="0.15"/>
    <row r="488" hidden="1" x14ac:dyDescent="0.15"/>
    <row r="489" hidden="1" x14ac:dyDescent="0.15"/>
    <row r="490" hidden="1" x14ac:dyDescent="0.15"/>
    <row r="491" hidden="1" x14ac:dyDescent="0.15"/>
    <row r="492" hidden="1" x14ac:dyDescent="0.15"/>
    <row r="493" hidden="1" x14ac:dyDescent="0.15"/>
    <row r="494" hidden="1" x14ac:dyDescent="0.15"/>
    <row r="495" hidden="1" x14ac:dyDescent="0.15"/>
    <row r="496" hidden="1" x14ac:dyDescent="0.15"/>
    <row r="497" hidden="1" x14ac:dyDescent="0.15"/>
    <row r="498" hidden="1" x14ac:dyDescent="0.15"/>
    <row r="499" hidden="1" x14ac:dyDescent="0.15"/>
    <row r="500" hidden="1" x14ac:dyDescent="0.15"/>
    <row r="501" hidden="1" x14ac:dyDescent="0.15"/>
    <row r="502" hidden="1" x14ac:dyDescent="0.15"/>
    <row r="503" hidden="1" x14ac:dyDescent="0.15"/>
    <row r="504" hidden="1" x14ac:dyDescent="0.15"/>
    <row r="505" hidden="1" x14ac:dyDescent="0.15"/>
    <row r="506" hidden="1" x14ac:dyDescent="0.15"/>
    <row r="507" hidden="1" x14ac:dyDescent="0.15"/>
    <row r="508" hidden="1" x14ac:dyDescent="0.15"/>
    <row r="509" hidden="1" x14ac:dyDescent="0.15"/>
    <row r="510" hidden="1" x14ac:dyDescent="0.15"/>
    <row r="511" hidden="1" x14ac:dyDescent="0.15"/>
    <row r="512" hidden="1" x14ac:dyDescent="0.15"/>
    <row r="513" hidden="1" x14ac:dyDescent="0.15"/>
    <row r="514" hidden="1" x14ac:dyDescent="0.15"/>
    <row r="515" hidden="1" x14ac:dyDescent="0.15"/>
    <row r="516" hidden="1" x14ac:dyDescent="0.15"/>
    <row r="517" hidden="1" x14ac:dyDescent="0.15"/>
    <row r="518" hidden="1" x14ac:dyDescent="0.15"/>
    <row r="519" hidden="1" x14ac:dyDescent="0.15"/>
    <row r="520" hidden="1" x14ac:dyDescent="0.15"/>
    <row r="521" hidden="1" x14ac:dyDescent="0.15"/>
    <row r="522" hidden="1" x14ac:dyDescent="0.15"/>
    <row r="523" hidden="1" x14ac:dyDescent="0.15"/>
    <row r="524" hidden="1" x14ac:dyDescent="0.15"/>
    <row r="525" hidden="1" x14ac:dyDescent="0.15"/>
    <row r="526" hidden="1" x14ac:dyDescent="0.15"/>
    <row r="527" hidden="1" x14ac:dyDescent="0.15"/>
    <row r="528" hidden="1" x14ac:dyDescent="0.15"/>
    <row r="529" hidden="1" x14ac:dyDescent="0.15"/>
    <row r="530" hidden="1" x14ac:dyDescent="0.15"/>
    <row r="531" hidden="1" x14ac:dyDescent="0.15"/>
    <row r="532" hidden="1" x14ac:dyDescent="0.15"/>
    <row r="533" hidden="1" x14ac:dyDescent="0.15"/>
    <row r="534" hidden="1" x14ac:dyDescent="0.15"/>
    <row r="535" hidden="1" x14ac:dyDescent="0.15"/>
    <row r="536" hidden="1" x14ac:dyDescent="0.15"/>
    <row r="537" hidden="1" x14ac:dyDescent="0.15"/>
    <row r="538" hidden="1" x14ac:dyDescent="0.15"/>
    <row r="539" hidden="1" x14ac:dyDescent="0.15"/>
    <row r="540" hidden="1" x14ac:dyDescent="0.15"/>
    <row r="541" hidden="1" x14ac:dyDescent="0.15"/>
    <row r="542" hidden="1" x14ac:dyDescent="0.15"/>
    <row r="543" hidden="1" x14ac:dyDescent="0.15"/>
    <row r="544" hidden="1" x14ac:dyDescent="0.15"/>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row r="593" hidden="1" x14ac:dyDescent="0.15"/>
    <row r="594" hidden="1" x14ac:dyDescent="0.15"/>
    <row r="595" hidden="1" x14ac:dyDescent="0.15"/>
    <row r="596" hidden="1" x14ac:dyDescent="0.15"/>
    <row r="597" hidden="1" x14ac:dyDescent="0.15"/>
    <row r="598" hidden="1" x14ac:dyDescent="0.15"/>
    <row r="599" hidden="1" x14ac:dyDescent="0.15"/>
    <row r="600" hidden="1" x14ac:dyDescent="0.15"/>
    <row r="601" hidden="1" x14ac:dyDescent="0.15"/>
    <row r="602" hidden="1" x14ac:dyDescent="0.15"/>
    <row r="603" hidden="1" x14ac:dyDescent="0.15"/>
    <row r="604" hidden="1" x14ac:dyDescent="0.15"/>
    <row r="605" hidden="1" x14ac:dyDescent="0.15"/>
    <row r="606" hidden="1" x14ac:dyDescent="0.15"/>
    <row r="607" hidden="1" x14ac:dyDescent="0.15"/>
    <row r="608" hidden="1" x14ac:dyDescent="0.15"/>
    <row r="609" hidden="1" x14ac:dyDescent="0.15"/>
    <row r="610" hidden="1" x14ac:dyDescent="0.15"/>
    <row r="611" hidden="1" x14ac:dyDescent="0.15"/>
    <row r="612" hidden="1" x14ac:dyDescent="0.15"/>
    <row r="613" hidden="1" x14ac:dyDescent="0.15"/>
    <row r="614" hidden="1" x14ac:dyDescent="0.15"/>
    <row r="615" hidden="1" x14ac:dyDescent="0.15"/>
    <row r="616" hidden="1" x14ac:dyDescent="0.15"/>
    <row r="617" hidden="1" x14ac:dyDescent="0.15"/>
    <row r="618" hidden="1" x14ac:dyDescent="0.15"/>
    <row r="619" hidden="1" x14ac:dyDescent="0.15"/>
    <row r="620" hidden="1" x14ac:dyDescent="0.15"/>
    <row r="621" hidden="1" x14ac:dyDescent="0.15"/>
    <row r="622" hidden="1" x14ac:dyDescent="0.15"/>
    <row r="623" hidden="1" x14ac:dyDescent="0.15"/>
    <row r="624" hidden="1" x14ac:dyDescent="0.15"/>
    <row r="625" hidden="1" x14ac:dyDescent="0.15"/>
    <row r="626" hidden="1" x14ac:dyDescent="0.15"/>
    <row r="627" hidden="1" x14ac:dyDescent="0.15"/>
    <row r="628" hidden="1" x14ac:dyDescent="0.15"/>
    <row r="629" hidden="1" x14ac:dyDescent="0.15"/>
    <row r="630" hidden="1" x14ac:dyDescent="0.15"/>
    <row r="631" hidden="1" x14ac:dyDescent="0.15"/>
    <row r="632" hidden="1" x14ac:dyDescent="0.15"/>
    <row r="633" hidden="1" x14ac:dyDescent="0.15"/>
    <row r="634" hidden="1" x14ac:dyDescent="0.15"/>
    <row r="635" hidden="1" x14ac:dyDescent="0.15"/>
    <row r="636" hidden="1" x14ac:dyDescent="0.15"/>
    <row r="637" hidden="1" x14ac:dyDescent="0.15"/>
    <row r="638" hidden="1" x14ac:dyDescent="0.15"/>
    <row r="639" hidden="1" x14ac:dyDescent="0.15"/>
    <row r="640" hidden="1" x14ac:dyDescent="0.15"/>
    <row r="641" hidden="1" x14ac:dyDescent="0.15"/>
    <row r="642" hidden="1" x14ac:dyDescent="0.15"/>
    <row r="643" hidden="1" x14ac:dyDescent="0.15"/>
    <row r="644" hidden="1" x14ac:dyDescent="0.15"/>
    <row r="645" hidden="1" x14ac:dyDescent="0.15"/>
    <row r="646" hidden="1" x14ac:dyDescent="0.15"/>
    <row r="647" hidden="1" x14ac:dyDescent="0.15"/>
    <row r="648" hidden="1" x14ac:dyDescent="0.15"/>
    <row r="649" hidden="1" x14ac:dyDescent="0.15"/>
    <row r="650" hidden="1" x14ac:dyDescent="0.15"/>
    <row r="651" hidden="1" x14ac:dyDescent="0.15"/>
    <row r="652" hidden="1" x14ac:dyDescent="0.15"/>
    <row r="653" hidden="1" x14ac:dyDescent="0.15"/>
    <row r="654" hidden="1" x14ac:dyDescent="0.15"/>
    <row r="655" hidden="1" x14ac:dyDescent="0.15"/>
    <row r="656" hidden="1" x14ac:dyDescent="0.15"/>
    <row r="657" hidden="1" x14ac:dyDescent="0.15"/>
    <row r="658" hidden="1" x14ac:dyDescent="0.15"/>
    <row r="659" hidden="1" x14ac:dyDescent="0.15"/>
    <row r="660" hidden="1" x14ac:dyDescent="0.15"/>
    <row r="661" hidden="1" x14ac:dyDescent="0.15"/>
    <row r="662" hidden="1" x14ac:dyDescent="0.15"/>
    <row r="663" hidden="1" x14ac:dyDescent="0.15"/>
    <row r="664" hidden="1" x14ac:dyDescent="0.15"/>
    <row r="665" hidden="1" x14ac:dyDescent="0.15"/>
    <row r="666" hidden="1" x14ac:dyDescent="0.15"/>
    <row r="667" hidden="1" x14ac:dyDescent="0.15"/>
    <row r="668" hidden="1" x14ac:dyDescent="0.15"/>
    <row r="669" hidden="1" x14ac:dyDescent="0.15"/>
    <row r="670" hidden="1" x14ac:dyDescent="0.15"/>
    <row r="671" hidden="1" x14ac:dyDescent="0.15"/>
    <row r="672" hidden="1" x14ac:dyDescent="0.15"/>
    <row r="673" hidden="1" x14ac:dyDescent="0.15"/>
    <row r="674" hidden="1" x14ac:dyDescent="0.15"/>
    <row r="675" hidden="1" x14ac:dyDescent="0.15"/>
    <row r="676" hidden="1" x14ac:dyDescent="0.15"/>
    <row r="677" hidden="1" x14ac:dyDescent="0.15"/>
    <row r="678" hidden="1" x14ac:dyDescent="0.15"/>
    <row r="679" hidden="1" x14ac:dyDescent="0.15"/>
    <row r="680" hidden="1" x14ac:dyDescent="0.15"/>
    <row r="681" hidden="1" x14ac:dyDescent="0.15"/>
    <row r="682" hidden="1" x14ac:dyDescent="0.15"/>
    <row r="683" hidden="1" x14ac:dyDescent="0.15"/>
    <row r="684" hidden="1" x14ac:dyDescent="0.15"/>
    <row r="685" hidden="1" x14ac:dyDescent="0.15"/>
    <row r="686" hidden="1" x14ac:dyDescent="0.15"/>
    <row r="687" hidden="1" x14ac:dyDescent="0.15"/>
    <row r="688" hidden="1" x14ac:dyDescent="0.15"/>
    <row r="689" hidden="1" x14ac:dyDescent="0.15"/>
    <row r="690" hidden="1" x14ac:dyDescent="0.15"/>
    <row r="691" hidden="1" x14ac:dyDescent="0.15"/>
    <row r="692" hidden="1" x14ac:dyDescent="0.15"/>
    <row r="693" hidden="1" x14ac:dyDescent="0.15"/>
    <row r="694" hidden="1" x14ac:dyDescent="0.15"/>
    <row r="695" hidden="1" x14ac:dyDescent="0.15"/>
    <row r="696" hidden="1" x14ac:dyDescent="0.15"/>
    <row r="697" hidden="1" x14ac:dyDescent="0.15"/>
    <row r="698" hidden="1" x14ac:dyDescent="0.15"/>
    <row r="699" hidden="1" x14ac:dyDescent="0.15"/>
    <row r="700" hidden="1" x14ac:dyDescent="0.15"/>
    <row r="701" hidden="1" x14ac:dyDescent="0.15"/>
    <row r="702" hidden="1" x14ac:dyDescent="0.15"/>
    <row r="703" hidden="1" x14ac:dyDescent="0.15"/>
    <row r="704" hidden="1" x14ac:dyDescent="0.15"/>
    <row r="705" hidden="1" x14ac:dyDescent="0.15"/>
    <row r="706" hidden="1" x14ac:dyDescent="0.15"/>
    <row r="707" hidden="1" x14ac:dyDescent="0.15"/>
    <row r="708" hidden="1" x14ac:dyDescent="0.15"/>
    <row r="709" hidden="1" x14ac:dyDescent="0.15"/>
    <row r="710" hidden="1" x14ac:dyDescent="0.15"/>
    <row r="711" hidden="1" x14ac:dyDescent="0.15"/>
    <row r="712" hidden="1" x14ac:dyDescent="0.15"/>
    <row r="713" hidden="1" x14ac:dyDescent="0.15"/>
    <row r="714" hidden="1" x14ac:dyDescent="0.15"/>
    <row r="715" hidden="1" x14ac:dyDescent="0.15"/>
    <row r="716" hidden="1" x14ac:dyDescent="0.15"/>
    <row r="717" hidden="1" x14ac:dyDescent="0.15"/>
    <row r="718" hidden="1" x14ac:dyDescent="0.15"/>
    <row r="719" hidden="1" x14ac:dyDescent="0.15"/>
    <row r="720" hidden="1" x14ac:dyDescent="0.15"/>
    <row r="721" hidden="1" x14ac:dyDescent="0.15"/>
    <row r="722" hidden="1" x14ac:dyDescent="0.15"/>
    <row r="723" hidden="1" x14ac:dyDescent="0.15"/>
    <row r="724" hidden="1" x14ac:dyDescent="0.15"/>
    <row r="725" hidden="1" x14ac:dyDescent="0.15"/>
    <row r="726" hidden="1" x14ac:dyDescent="0.15"/>
    <row r="727" hidden="1" x14ac:dyDescent="0.15"/>
  </sheetData>
  <mergeCells count="89">
    <mergeCell ref="K43:R43"/>
    <mergeCell ref="K44:R45"/>
    <mergeCell ref="C43:J43"/>
    <mergeCell ref="K42:R42"/>
    <mergeCell ref="P41:R41"/>
    <mergeCell ref="K39:O39"/>
    <mergeCell ref="K41:O41"/>
    <mergeCell ref="K40:R40"/>
    <mergeCell ref="P39:R39"/>
    <mergeCell ref="C40:J40"/>
    <mergeCell ref="C42:J42"/>
    <mergeCell ref="C41:G41"/>
    <mergeCell ref="H41:J41"/>
    <mergeCell ref="H44:J44"/>
    <mergeCell ref="C44:G44"/>
    <mergeCell ref="N19:X20"/>
    <mergeCell ref="B21:Y21"/>
    <mergeCell ref="T33:V34"/>
    <mergeCell ref="Q23:S24"/>
    <mergeCell ref="N33:P34"/>
    <mergeCell ref="T23:Y24"/>
    <mergeCell ref="C19:G20"/>
    <mergeCell ref="H19:J20"/>
    <mergeCell ref="C38:J38"/>
    <mergeCell ref="K38:R38"/>
    <mergeCell ref="C45:J45"/>
    <mergeCell ref="R3:X4"/>
    <mergeCell ref="N5:Q6"/>
    <mergeCell ref="R5:X6"/>
    <mergeCell ref="C5:F6"/>
    <mergeCell ref="C3:F4"/>
    <mergeCell ref="G3:M4"/>
    <mergeCell ref="N3:Q4"/>
    <mergeCell ref="K27:M29"/>
    <mergeCell ref="K23:M24"/>
    <mergeCell ref="E23:G24"/>
    <mergeCell ref="C47:E48"/>
    <mergeCell ref="F47:X48"/>
    <mergeCell ref="T25:V29"/>
    <mergeCell ref="K25:M26"/>
    <mergeCell ref="H33:J34"/>
    <mergeCell ref="Q33:S34"/>
    <mergeCell ref="B33:D34"/>
    <mergeCell ref="N23:P24"/>
    <mergeCell ref="T30:V32"/>
    <mergeCell ref="B23:D24"/>
    <mergeCell ref="B35:Y36"/>
    <mergeCell ref="C39:G39"/>
    <mergeCell ref="E33:G34"/>
    <mergeCell ref="H23:J24"/>
    <mergeCell ref="K33:M34"/>
    <mergeCell ref="B25:D29"/>
    <mergeCell ref="K30:M32"/>
    <mergeCell ref="X1:Z2"/>
    <mergeCell ref="C1:W2"/>
    <mergeCell ref="G5:M6"/>
    <mergeCell ref="R7:X8"/>
    <mergeCell ref="N49:Y49"/>
    <mergeCell ref="C37:N37"/>
    <mergeCell ref="O37:X37"/>
    <mergeCell ref="C22:X22"/>
    <mergeCell ref="W33:Y34"/>
    <mergeCell ref="B30:D32"/>
    <mergeCell ref="N17:R18"/>
    <mergeCell ref="V15:X16"/>
    <mergeCell ref="N15:R16"/>
    <mergeCell ref="C7:F8"/>
    <mergeCell ref="G7:M8"/>
    <mergeCell ref="N7:Q8"/>
    <mergeCell ref="K19:M20"/>
    <mergeCell ref="C11:X11"/>
    <mergeCell ref="C9:F10"/>
    <mergeCell ref="S17:U18"/>
    <mergeCell ref="U13:X14"/>
    <mergeCell ref="G9:X10"/>
    <mergeCell ref="S15:U16"/>
    <mergeCell ref="K15:M16"/>
    <mergeCell ref="C13:E14"/>
    <mergeCell ref="J13:M14"/>
    <mergeCell ref="R13:T14"/>
    <mergeCell ref="F13:I14"/>
    <mergeCell ref="C12:X12"/>
    <mergeCell ref="H15:J16"/>
    <mergeCell ref="N13:Q14"/>
    <mergeCell ref="C17:G18"/>
    <mergeCell ref="H17:J18"/>
    <mergeCell ref="C15:G16"/>
    <mergeCell ref="K17:M18"/>
    <mergeCell ref="V17:X18"/>
  </mergeCells>
  <phoneticPr fontId="2"/>
  <conditionalFormatting sqref="F32">
    <cfRule type="expression" dxfId="45" priority="1" stopIfTrue="1">
      <formula>$G$32=1</formula>
    </cfRule>
  </conditionalFormatting>
  <conditionalFormatting sqref="F31">
    <cfRule type="expression" dxfId="44" priority="2" stopIfTrue="1">
      <formula>$G$31=1</formula>
    </cfRule>
  </conditionalFormatting>
  <conditionalFormatting sqref="F30">
    <cfRule type="expression" dxfId="43" priority="3" stopIfTrue="1">
      <formula>$G$30=1</formula>
    </cfRule>
  </conditionalFormatting>
  <conditionalFormatting sqref="F29">
    <cfRule type="expression" dxfId="42" priority="4" stopIfTrue="1">
      <formula>$G$29=1</formula>
    </cfRule>
  </conditionalFormatting>
  <conditionalFormatting sqref="F28">
    <cfRule type="expression" dxfId="41" priority="5" stopIfTrue="1">
      <formula>$G$28=1</formula>
    </cfRule>
  </conditionalFormatting>
  <conditionalFormatting sqref="F27">
    <cfRule type="expression" dxfId="40" priority="6" stopIfTrue="1">
      <formula>$G$27=1</formula>
    </cfRule>
  </conditionalFormatting>
  <conditionalFormatting sqref="F26">
    <cfRule type="expression" dxfId="39" priority="7" stopIfTrue="1">
      <formula>$G$26=1</formula>
    </cfRule>
  </conditionalFormatting>
  <conditionalFormatting sqref="I32">
    <cfRule type="expression" dxfId="38" priority="8" stopIfTrue="1">
      <formula>$J$32=1</formula>
    </cfRule>
  </conditionalFormatting>
  <conditionalFormatting sqref="I31">
    <cfRule type="expression" dxfId="37" priority="9" stopIfTrue="1">
      <formula>$J$31=1</formula>
    </cfRule>
  </conditionalFormatting>
  <conditionalFormatting sqref="I30">
    <cfRule type="expression" dxfId="36" priority="10" stopIfTrue="1">
      <formula>$J$30=1</formula>
    </cfRule>
  </conditionalFormatting>
  <conditionalFormatting sqref="I29">
    <cfRule type="expression" dxfId="35" priority="11" stopIfTrue="1">
      <formula>$J$29=1</formula>
    </cfRule>
  </conditionalFormatting>
  <conditionalFormatting sqref="I28">
    <cfRule type="expression" dxfId="34" priority="12" stopIfTrue="1">
      <formula>$J$28=1</formula>
    </cfRule>
  </conditionalFormatting>
  <conditionalFormatting sqref="I27">
    <cfRule type="expression" dxfId="33" priority="13" stopIfTrue="1">
      <formula>$J$27=1</formula>
    </cfRule>
  </conditionalFormatting>
  <conditionalFormatting sqref="I26">
    <cfRule type="expression" dxfId="32" priority="14" stopIfTrue="1">
      <formula>$J$26=1</formula>
    </cfRule>
  </conditionalFormatting>
  <conditionalFormatting sqref="O32">
    <cfRule type="expression" dxfId="31" priority="15" stopIfTrue="1">
      <formula>$P$32=1</formula>
    </cfRule>
  </conditionalFormatting>
  <conditionalFormatting sqref="O31">
    <cfRule type="expression" dxfId="30" priority="16" stopIfTrue="1">
      <formula>$P$31=1</formula>
    </cfRule>
  </conditionalFormatting>
  <conditionalFormatting sqref="O30">
    <cfRule type="expression" dxfId="29" priority="17" stopIfTrue="1">
      <formula>$P$30=1</formula>
    </cfRule>
  </conditionalFormatting>
  <conditionalFormatting sqref="O29">
    <cfRule type="expression" dxfId="28" priority="18" stopIfTrue="1">
      <formula>$P$29=1</formula>
    </cfRule>
  </conditionalFormatting>
  <conditionalFormatting sqref="O28">
    <cfRule type="expression" dxfId="27" priority="19" stopIfTrue="1">
      <formula>$P$28=1</formula>
    </cfRule>
  </conditionalFormatting>
  <conditionalFormatting sqref="O27">
    <cfRule type="expression" dxfId="26" priority="20" stopIfTrue="1">
      <formula>$P$27=1</formula>
    </cfRule>
  </conditionalFormatting>
  <conditionalFormatting sqref="O26">
    <cfRule type="expression" dxfId="25" priority="21" stopIfTrue="1">
      <formula>$P$26=1</formula>
    </cfRule>
  </conditionalFormatting>
  <conditionalFormatting sqref="R32">
    <cfRule type="expression" dxfId="24" priority="22" stopIfTrue="1">
      <formula>$S$32=1</formula>
    </cfRule>
  </conditionalFormatting>
  <conditionalFormatting sqref="R31">
    <cfRule type="expression" dxfId="23" priority="23" stopIfTrue="1">
      <formula>$S$31=1</formula>
    </cfRule>
  </conditionalFormatting>
  <conditionalFormatting sqref="R30">
    <cfRule type="expression" dxfId="22" priority="24" stopIfTrue="1">
      <formula>$S$30=1</formula>
    </cfRule>
  </conditionalFormatting>
  <conditionalFormatting sqref="R29">
    <cfRule type="expression" dxfId="21" priority="25" stopIfTrue="1">
      <formula>$S$29=1</formula>
    </cfRule>
  </conditionalFormatting>
  <conditionalFormatting sqref="R28">
    <cfRule type="expression" dxfId="20" priority="26" stopIfTrue="1">
      <formula>$S$28=1</formula>
    </cfRule>
  </conditionalFormatting>
  <conditionalFormatting sqref="R27">
    <cfRule type="expression" dxfId="19" priority="27" stopIfTrue="1">
      <formula>$S$27=1</formula>
    </cfRule>
  </conditionalFormatting>
  <conditionalFormatting sqref="R26">
    <cfRule type="expression" dxfId="18" priority="28" stopIfTrue="1">
      <formula>$S$26=1</formula>
    </cfRule>
  </conditionalFormatting>
  <conditionalFormatting sqref="X32">
    <cfRule type="expression" dxfId="17" priority="29" stopIfTrue="1">
      <formula>$Y$32=1</formula>
    </cfRule>
  </conditionalFormatting>
  <conditionalFormatting sqref="X31">
    <cfRule type="expression" dxfId="16" priority="30" stopIfTrue="1">
      <formula>$Y$31=1</formula>
    </cfRule>
  </conditionalFormatting>
  <conditionalFormatting sqref="X30">
    <cfRule type="expression" dxfId="15" priority="31" stopIfTrue="1">
      <formula>$Y$30=1</formula>
    </cfRule>
  </conditionalFormatting>
  <conditionalFormatting sqref="X29">
    <cfRule type="expression" dxfId="14" priority="32" stopIfTrue="1">
      <formula>$Y$29=1</formula>
    </cfRule>
  </conditionalFormatting>
  <conditionalFormatting sqref="X28">
    <cfRule type="expression" dxfId="13" priority="33" stopIfTrue="1">
      <formula>$Y$28=1</formula>
    </cfRule>
  </conditionalFormatting>
  <conditionalFormatting sqref="X27">
    <cfRule type="expression" dxfId="12" priority="34" stopIfTrue="1">
      <formula>$Y$27=1</formula>
    </cfRule>
  </conditionalFormatting>
  <conditionalFormatting sqref="X26">
    <cfRule type="expression" dxfId="11" priority="35" stopIfTrue="1">
      <formula>$Y$26=1</formula>
    </cfRule>
  </conditionalFormatting>
  <conditionalFormatting sqref="E33:G34">
    <cfRule type="expression" dxfId="10" priority="36" stopIfTrue="1">
      <formula>$E$33="補給型"</formula>
    </cfRule>
  </conditionalFormatting>
  <conditionalFormatting sqref="H33:J34">
    <cfRule type="expression" dxfId="9" priority="37" stopIfTrue="1">
      <formula>$H$33="補給型"</formula>
    </cfRule>
  </conditionalFormatting>
  <conditionalFormatting sqref="N33:P34">
    <cfRule type="expression" dxfId="8" priority="38" stopIfTrue="1">
      <formula>$N$33="補給型"</formula>
    </cfRule>
    <cfRule type="expression" dxfId="7" priority="39" stopIfTrue="1">
      <formula>$N$33="減肥"</formula>
    </cfRule>
  </conditionalFormatting>
  <conditionalFormatting sqref="Q33:S34">
    <cfRule type="expression" dxfId="6" priority="40" stopIfTrue="1">
      <formula>$Q$33="補給型"</formula>
    </cfRule>
    <cfRule type="expression" dxfId="5" priority="41" stopIfTrue="1">
      <formula>$Q$33="減肥"</formula>
    </cfRule>
  </conditionalFormatting>
  <conditionalFormatting sqref="W33:Y34">
    <cfRule type="expression" dxfId="4" priority="42" stopIfTrue="1">
      <formula>$W$33="減肥可能"</formula>
    </cfRule>
  </conditionalFormatting>
  <conditionalFormatting sqref="C45">
    <cfRule type="expression" dxfId="3" priority="43" stopIfTrue="1">
      <formula>$M$49&lt;2</formula>
    </cfRule>
    <cfRule type="expression" dxfId="2" priority="44" stopIfTrue="1">
      <formula>$M$49&gt;=2</formula>
    </cfRule>
  </conditionalFormatting>
  <conditionalFormatting sqref="C42">
    <cfRule type="expression" dxfId="1" priority="45" stopIfTrue="1">
      <formula>$C$42="上記目安の50％減肥可能"</formula>
    </cfRule>
  </conditionalFormatting>
  <conditionalFormatting sqref="K42 V42:X42">
    <cfRule type="expression" dxfId="0" priority="46" stopIfTrue="1">
      <formula>$K$42="上記目安の50%減肥可能"</formula>
    </cfRule>
  </conditionalFormatting>
  <dataValidations count="4">
    <dataValidation type="list" allowBlank="1" showInputMessage="1" showErrorMessage="1" sqref="G7:M8">
      <formula1>$AG$58:$AG$95</formula1>
    </dataValidation>
    <dataValidation type="list" allowBlank="1" showInputMessage="1" showErrorMessage="1" sqref="G9:X10">
      <formula1>$AJ$58:$AJ$73</formula1>
    </dataValidation>
    <dataValidation type="list" allowBlank="1" showInputMessage="1" showErrorMessage="1" sqref="G3:M4">
      <formula1>$AB$58:$AB$60</formula1>
    </dataValidation>
    <dataValidation type="list" allowBlank="1" showInputMessage="1" showErrorMessage="1" sqref="G5:M6">
      <formula1>$AD$58:$AD$62</formula1>
    </dataValidation>
  </dataValidations>
  <pageMargins left="0.78740157480314965" right="0.78740157480314965" top="0.98425196850393704" bottom="0.98425196850393704" header="0" footer="0"/>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6"/>
  <sheetViews>
    <sheetView workbookViewId="0">
      <selection activeCell="C43" sqref="C43"/>
    </sheetView>
  </sheetViews>
  <sheetFormatPr defaultRowHeight="13.5" x14ac:dyDescent="0.15"/>
  <cols>
    <col min="1" max="1" width="29" bestFit="1" customWidth="1"/>
  </cols>
  <sheetData>
    <row r="1" spans="1:13" x14ac:dyDescent="0.15">
      <c r="A1" t="s">
        <v>316</v>
      </c>
      <c r="B1" t="s">
        <v>332</v>
      </c>
    </row>
    <row r="2" spans="1:13" x14ac:dyDescent="0.15">
      <c r="B2" t="s">
        <v>608</v>
      </c>
    </row>
    <row r="4" spans="1:13" x14ac:dyDescent="0.15">
      <c r="A4" t="s">
        <v>340</v>
      </c>
    </row>
    <row r="5" spans="1:13" x14ac:dyDescent="0.15">
      <c r="A5" t="s">
        <v>318</v>
      </c>
      <c r="B5" t="s">
        <v>321</v>
      </c>
      <c r="C5" t="s">
        <v>319</v>
      </c>
      <c r="D5" t="s">
        <v>322</v>
      </c>
      <c r="E5" t="s">
        <v>320</v>
      </c>
      <c r="F5" t="s">
        <v>323</v>
      </c>
      <c r="G5" t="s">
        <v>369</v>
      </c>
      <c r="H5" t="s">
        <v>366</v>
      </c>
      <c r="I5" t="s">
        <v>364</v>
      </c>
      <c r="J5" t="s">
        <v>367</v>
      </c>
      <c r="K5" t="s">
        <v>389</v>
      </c>
      <c r="L5" t="s">
        <v>383</v>
      </c>
      <c r="M5" t="s">
        <v>390</v>
      </c>
    </row>
    <row r="6" spans="1:13" x14ac:dyDescent="0.15">
      <c r="A6" t="str">
        <f>表紙!G5</f>
        <v>野菜</v>
      </c>
      <c r="B6" s="10">
        <f>MATCH(A6,表紙!AD58:AD62,0)*100</f>
        <v>200</v>
      </c>
      <c r="C6" t="str">
        <f>表紙!G7</f>
        <v>トマト</v>
      </c>
      <c r="D6" s="10">
        <f>VLOOKUP(C6,表紙!AL58:AM125,2,FALSE)</f>
        <v>20200</v>
      </c>
      <c r="E6" t="str">
        <f>表紙!G9</f>
        <v>雨よけ普通栽培</v>
      </c>
      <c r="F6" s="10">
        <f>VLOOKUP(E6,表紙!AQ58:AR236,2,FALSE)</f>
        <v>20201</v>
      </c>
      <c r="G6" s="10">
        <f>IF((B6/200)&lt;1,0,IF((B6/200)&gt;1.5,0,1))</f>
        <v>1</v>
      </c>
      <c r="H6" s="10">
        <f>IF(VLOOKUP(表紙!G7,表紙!AL58:AN125,3,FALSE)="通常",1,0)</f>
        <v>1</v>
      </c>
      <c r="I6" s="10">
        <f>IF(表紙!G3="設定しない",10,IF(表紙!G3="黒ボク土",10,20))</f>
        <v>10</v>
      </c>
      <c r="J6" s="10">
        <f>H6+I6</f>
        <v>11</v>
      </c>
      <c r="K6" s="10">
        <f>IF(B6/100=ROUNDDOWN(D6/10000,0),0,1)</f>
        <v>0</v>
      </c>
      <c r="L6" s="10">
        <f>IF(ROUNDDOWN(D6/100,0)=ROUNDDOWN(F6/100,0),0,1)</f>
        <v>0</v>
      </c>
      <c r="M6" s="10">
        <f>K6+L6</f>
        <v>0</v>
      </c>
    </row>
    <row r="8" spans="1:13" x14ac:dyDescent="0.15">
      <c r="A8" t="s">
        <v>333</v>
      </c>
    </row>
    <row r="9" spans="1:13" x14ac:dyDescent="0.15">
      <c r="A9" t="s">
        <v>355</v>
      </c>
    </row>
    <row r="10" spans="1:13" x14ac:dyDescent="0.15">
      <c r="A10" t="s">
        <v>626</v>
      </c>
      <c r="B10" s="10">
        <f>表紙!U13</f>
        <v>25</v>
      </c>
    </row>
    <row r="11" spans="1:13" x14ac:dyDescent="0.15">
      <c r="A11" t="s">
        <v>640</v>
      </c>
      <c r="B11" s="10">
        <f>IF(B10="",0,IF(B10=0,0,IF(B10&lt;5,0,IF(B10&gt;60,0,1))))</f>
        <v>1</v>
      </c>
      <c r="D11" t="s">
        <v>641</v>
      </c>
    </row>
    <row r="12" spans="1:13" x14ac:dyDescent="0.15">
      <c r="A12" t="s">
        <v>642</v>
      </c>
      <c r="B12" s="10">
        <f>IF(B11=1,B10,"ERROR")</f>
        <v>25</v>
      </c>
    </row>
    <row r="13" spans="1:13" x14ac:dyDescent="0.15">
      <c r="B13" s="10"/>
    </row>
    <row r="14" spans="1:13" x14ac:dyDescent="0.15">
      <c r="A14" s="5" t="s">
        <v>359</v>
      </c>
    </row>
    <row r="15" spans="1:13" x14ac:dyDescent="0.15">
      <c r="B15" t="s">
        <v>334</v>
      </c>
      <c r="C15" t="s">
        <v>335</v>
      </c>
      <c r="D15" t="s">
        <v>336</v>
      </c>
      <c r="E15" t="s">
        <v>337</v>
      </c>
      <c r="F15" t="s">
        <v>338</v>
      </c>
    </row>
    <row r="16" spans="1:13" x14ac:dyDescent="0.15">
      <c r="A16" t="s">
        <v>345</v>
      </c>
      <c r="B16">
        <f>VLOOKUP($D$6/100,作物別目標!$A$4:$M$95,8,FALSE)</f>
        <v>48</v>
      </c>
      <c r="C16">
        <f>VLOOKUP($D$6/100,作物別目標!$A$4:$M$95,9,FALSE)</f>
        <v>10</v>
      </c>
      <c r="D16">
        <f>VLOOKUP($D$6/100,作物別目標!$A$4:$M$95,10,FALSE)</f>
        <v>2</v>
      </c>
      <c r="E16">
        <f>VLOOKUP($D$6/100,作物別目標!$A$4:$M$95,13,FALSE)</f>
        <v>20</v>
      </c>
      <c r="F16" t="s">
        <v>123</v>
      </c>
    </row>
    <row r="17" spans="1:11" x14ac:dyDescent="0.15">
      <c r="A17" s="17" t="s">
        <v>346</v>
      </c>
      <c r="B17" s="17">
        <f>$B$12*(B16/100)*28.04</f>
        <v>336.48</v>
      </c>
      <c r="C17" s="17">
        <f>$B$12*(C16/100)*20.15</f>
        <v>50.375</v>
      </c>
      <c r="D17" s="17">
        <f>$B$12*(D16/100)*47.1</f>
        <v>23.55</v>
      </c>
      <c r="E17" s="17">
        <f>E16</f>
        <v>20</v>
      </c>
    </row>
    <row r="18" spans="1:11" x14ac:dyDescent="0.15">
      <c r="A18" t="s">
        <v>341</v>
      </c>
    </row>
    <row r="19" spans="1:11" x14ac:dyDescent="0.15">
      <c r="A19" s="13"/>
      <c r="B19" s="15"/>
    </row>
    <row r="20" spans="1:11" x14ac:dyDescent="0.15">
      <c r="A20" t="s">
        <v>343</v>
      </c>
    </row>
    <row r="21" spans="1:11" x14ac:dyDescent="0.15">
      <c r="B21" t="s">
        <v>336</v>
      </c>
      <c r="F21" t="s">
        <v>337</v>
      </c>
      <c r="J21" t="s">
        <v>380</v>
      </c>
    </row>
    <row r="22" spans="1:11" x14ac:dyDescent="0.15">
      <c r="A22" t="s">
        <v>347</v>
      </c>
      <c r="B22" t="s">
        <v>348</v>
      </c>
      <c r="C22" t="s">
        <v>349</v>
      </c>
      <c r="D22" t="s">
        <v>368</v>
      </c>
      <c r="E22" t="s">
        <v>350</v>
      </c>
      <c r="F22" t="s">
        <v>348</v>
      </c>
      <c r="G22" t="s">
        <v>349</v>
      </c>
      <c r="H22" t="s">
        <v>348</v>
      </c>
      <c r="I22" t="s">
        <v>349</v>
      </c>
      <c r="J22" t="s">
        <v>381</v>
      </c>
      <c r="K22" t="s">
        <v>349</v>
      </c>
    </row>
    <row r="23" spans="1:11" x14ac:dyDescent="0.15">
      <c r="A23" t="s">
        <v>344</v>
      </c>
      <c r="B23" s="16">
        <v>0.5</v>
      </c>
      <c r="C23" s="57">
        <f>B10*(5/100)*47.1</f>
        <v>58.875</v>
      </c>
      <c r="D23">
        <v>10</v>
      </c>
      <c r="E23" t="s">
        <v>351</v>
      </c>
      <c r="F23">
        <v>50</v>
      </c>
      <c r="G23">
        <v>30</v>
      </c>
      <c r="H23">
        <v>0</v>
      </c>
      <c r="I23">
        <v>50</v>
      </c>
      <c r="J23" s="13" t="s">
        <v>627</v>
      </c>
      <c r="K23">
        <v>11</v>
      </c>
    </row>
    <row r="24" spans="1:11" x14ac:dyDescent="0.15">
      <c r="A24" s="13"/>
      <c r="B24">
        <v>0</v>
      </c>
      <c r="C24" s="57">
        <f>B10*(C25/100)*47.1</f>
        <v>70.650000000000006</v>
      </c>
      <c r="D24">
        <v>11</v>
      </c>
      <c r="E24" t="s">
        <v>352</v>
      </c>
      <c r="F24">
        <v>50</v>
      </c>
      <c r="G24">
        <v>50</v>
      </c>
      <c r="H24">
        <v>0</v>
      </c>
      <c r="I24">
        <v>100</v>
      </c>
      <c r="J24" s="13" t="s">
        <v>628</v>
      </c>
      <c r="K24">
        <v>16</v>
      </c>
    </row>
    <row r="25" spans="1:11" x14ac:dyDescent="0.15">
      <c r="A25" s="13"/>
      <c r="B25" t="s">
        <v>634</v>
      </c>
      <c r="C25">
        <f>IF(B10&gt;=25,6,IF(B10&gt;=20,7,IF(B10&gt;=15,10,11)))</f>
        <v>6</v>
      </c>
      <c r="D25">
        <v>20</v>
      </c>
      <c r="E25" t="s">
        <v>353</v>
      </c>
      <c r="F25">
        <v>80</v>
      </c>
      <c r="G25">
        <v>30</v>
      </c>
      <c r="H25">
        <v>0</v>
      </c>
      <c r="I25">
        <v>50</v>
      </c>
      <c r="J25" s="13" t="s">
        <v>629</v>
      </c>
      <c r="K25">
        <v>21</v>
      </c>
    </row>
    <row r="26" spans="1:11" x14ac:dyDescent="0.15">
      <c r="A26" s="13"/>
      <c r="D26">
        <v>21</v>
      </c>
      <c r="E26" t="s">
        <v>354</v>
      </c>
      <c r="F26">
        <v>50</v>
      </c>
      <c r="G26">
        <v>30</v>
      </c>
      <c r="H26">
        <v>0</v>
      </c>
      <c r="I26">
        <v>50</v>
      </c>
      <c r="J26" s="13" t="s">
        <v>630</v>
      </c>
      <c r="K26">
        <v>26</v>
      </c>
    </row>
    <row r="27" spans="1:11" x14ac:dyDescent="0.15">
      <c r="A27" s="13"/>
      <c r="B27" t="s">
        <v>379</v>
      </c>
      <c r="D27" s="17"/>
      <c r="E27" s="18" t="s">
        <v>370</v>
      </c>
      <c r="F27" s="18">
        <f>VLOOKUP($J$6,$D$23:$I$26,3,FALSE)</f>
        <v>50</v>
      </c>
      <c r="G27" s="18">
        <f>VLOOKUP($J$6,$D$23:$I$26,4,FALSE)</f>
        <v>50</v>
      </c>
      <c r="H27" s="18">
        <f>VLOOKUP($J$6,$D$23:$I$26,5,FALSE)</f>
        <v>0</v>
      </c>
      <c r="I27" s="18">
        <f>VLOOKUP($J$6,$D$23:$I$26,6,FALSE)</f>
        <v>100</v>
      </c>
      <c r="J27" s="13" t="s">
        <v>631</v>
      </c>
      <c r="K27">
        <v>31</v>
      </c>
    </row>
    <row r="28" spans="1:11" x14ac:dyDescent="0.15">
      <c r="A28" s="13"/>
      <c r="B28" s="17">
        <f>IF(D32&lt;C23,1,IF(D32&gt;=C24,0,0.5))</f>
        <v>0.5</v>
      </c>
      <c r="E28" s="18" t="s">
        <v>371</v>
      </c>
      <c r="F28" s="18">
        <f>F27/100</f>
        <v>0.5</v>
      </c>
      <c r="G28" s="18"/>
      <c r="H28" s="18">
        <f>H27</f>
        <v>0</v>
      </c>
      <c r="I28" s="18"/>
      <c r="J28" s="13" t="s">
        <v>632</v>
      </c>
      <c r="K28">
        <v>36</v>
      </c>
    </row>
    <row r="29" spans="1:11" x14ac:dyDescent="0.15">
      <c r="A29" s="13"/>
      <c r="E29" s="18"/>
      <c r="F29" s="18"/>
      <c r="G29" s="18"/>
      <c r="H29" s="18"/>
      <c r="I29" s="18"/>
    </row>
    <row r="30" spans="1:11" x14ac:dyDescent="0.15">
      <c r="A30" s="13" t="s">
        <v>342</v>
      </c>
    </row>
    <row r="31" spans="1:11" x14ac:dyDescent="0.15">
      <c r="A31" s="14" t="s">
        <v>365</v>
      </c>
      <c r="B31" t="s">
        <v>334</v>
      </c>
      <c r="C31" t="s">
        <v>335</v>
      </c>
      <c r="D31" t="s">
        <v>336</v>
      </c>
      <c r="E31" t="s">
        <v>337</v>
      </c>
      <c r="F31" t="s">
        <v>338</v>
      </c>
    </row>
    <row r="32" spans="1:11" x14ac:dyDescent="0.15">
      <c r="A32" s="19" t="s">
        <v>339</v>
      </c>
      <c r="B32" s="20">
        <f>表紙!H15</f>
        <v>400</v>
      </c>
      <c r="C32" s="20">
        <f>表紙!S15</f>
        <v>80</v>
      </c>
      <c r="D32" s="20">
        <f>表紙!H17</f>
        <v>60</v>
      </c>
      <c r="E32" s="20">
        <f>表紙!S17</f>
        <v>25</v>
      </c>
      <c r="F32" s="20">
        <f>表紙!H19</f>
        <v>15</v>
      </c>
    </row>
    <row r="33" spans="1:11" x14ac:dyDescent="0.15">
      <c r="A33" s="32" t="s">
        <v>356</v>
      </c>
      <c r="B33" s="33">
        <f>IF(B32&gt;=B17,1,0)</f>
        <v>1</v>
      </c>
      <c r="C33" s="33">
        <f>IF(C32&gt;=C17,1,0)</f>
        <v>1</v>
      </c>
      <c r="D33" s="33">
        <f>IF(D32&gt;=D17,1,0)</f>
        <v>1</v>
      </c>
      <c r="E33" s="33">
        <f>IF(E32&gt;=E17,1,0)</f>
        <v>1</v>
      </c>
      <c r="F33" s="10" t="s">
        <v>580</v>
      </c>
      <c r="G33" s="15"/>
      <c r="H33" t="s">
        <v>358</v>
      </c>
    </row>
    <row r="34" spans="1:11" x14ac:dyDescent="0.15">
      <c r="A34" s="12" t="s">
        <v>357</v>
      </c>
      <c r="B34" s="10">
        <v>-1</v>
      </c>
      <c r="C34" s="10">
        <v>-1</v>
      </c>
      <c r="D34" s="10">
        <f>IF(G6=0,-1,IF(D32&gt;=C24,2,IF(D32&gt;=C23,1,0)))</f>
        <v>1</v>
      </c>
      <c r="E34" s="10">
        <f>IF(G6=0,-1,IF(E32&gt;=I27,2,IF(E32&gt;=G27,1,0)))</f>
        <v>0</v>
      </c>
      <c r="F34" s="10">
        <f>IF(G6=0,-1,IF(F32&gt;=K28,16,IF(F32&gt;=K27,15,IF(F32&gt;=K26,14,IF(F32&gt;=K25,13,IF(F32&gt;=K24,12,IF(F32&gt;=K23,11,0)))))))</f>
        <v>11</v>
      </c>
      <c r="G34" s="15"/>
      <c r="H34" t="s">
        <v>633</v>
      </c>
    </row>
    <row r="35" spans="1:11" x14ac:dyDescent="0.15">
      <c r="A35" s="10" t="s">
        <v>374</v>
      </c>
      <c r="B35" s="10">
        <f>IF($B6&gt;=500,IF($D6/100=501,100,IF($D6/100=502,100,999)),999)</f>
        <v>999</v>
      </c>
      <c r="C35" s="10">
        <f>IF($D6/100=503,1.5,999)</f>
        <v>999</v>
      </c>
      <c r="D35" s="10">
        <f>VLOOKUP($F$6,旧施基!$A$5:$O$183,13,FALSE)</f>
        <v>30</v>
      </c>
      <c r="E35" s="10">
        <f>VLOOKUP($F$6,旧施基!$A$5:$O$183,10,FALSE)</f>
        <v>30</v>
      </c>
      <c r="F35" s="10">
        <f>VLOOKUP($F$6,旧施基!$A$5:$O$183,13,FALSE)</f>
        <v>30</v>
      </c>
      <c r="H35" t="s">
        <v>550</v>
      </c>
    </row>
    <row r="36" spans="1:11" x14ac:dyDescent="0.15">
      <c r="A36" s="10" t="s">
        <v>372</v>
      </c>
      <c r="B36" s="10">
        <f>IF(B33=1,VLOOKUP($F$6,補給施基!$A$5:$K$183,10,FALSE),"-")</f>
        <v>18</v>
      </c>
      <c r="C36" s="10">
        <f>VLOOKUP($F$6,補給施基!$A$5:$K$183,11,FALSE)</f>
        <v>5</v>
      </c>
      <c r="D36" s="10">
        <f>VLOOKUP($F$6,補給施基!$A$5:$K$183,9,FALSE)</f>
        <v>30</v>
      </c>
      <c r="E36" s="10">
        <f>VLOOKUP($F$6,補給施基!$A$5:$K$183,8,FALSE)</f>
        <v>10</v>
      </c>
      <c r="F36" s="10">
        <f>F35</f>
        <v>30</v>
      </c>
    </row>
    <row r="37" spans="1:11" x14ac:dyDescent="0.15">
      <c r="A37" s="10" t="s">
        <v>373</v>
      </c>
      <c r="B37" s="10">
        <v>999</v>
      </c>
      <c r="C37" s="10">
        <v>999</v>
      </c>
      <c r="D37">
        <f>IF(D34&lt;=0,999,IF(D34&gt;=1,D35*B28))</f>
        <v>15</v>
      </c>
      <c r="E37">
        <f>IF(E34&lt;=0,999,IF(E34=1,E35*F28,E35*H28))</f>
        <v>999</v>
      </c>
      <c r="F37">
        <f>F36</f>
        <v>30</v>
      </c>
      <c r="H37" t="s">
        <v>550</v>
      </c>
    </row>
    <row r="38" spans="1:11" x14ac:dyDescent="0.15">
      <c r="A38" t="s">
        <v>382</v>
      </c>
      <c r="B38" t="str">
        <f>IF(B36="別途確認","従来",IF(B33=0,"適用なし",IF(B36&lt;=B37,"補給","減肥")))</f>
        <v>補給</v>
      </c>
      <c r="C38" t="str">
        <f>IF(C36="別途確認","従来",IF(C33=0,"適用なし",IF(C36&lt;=C37,"補給","減肥")))</f>
        <v>補給</v>
      </c>
      <c r="D38" t="str">
        <f>IF(D36="別途確認","補給",IF(D33=0,"適用なし",IF(D36&lt;=D37,"補給","減肥")))</f>
        <v>減肥</v>
      </c>
      <c r="E38" t="str">
        <f>IF(E36="別途確認","補給",IF(E33=0,"適用なし",IF(E36&lt;=E37,"補給","減肥")))</f>
        <v>補給</v>
      </c>
      <c r="F38" t="str">
        <f>IF(F34&lt;=0,"通常施肥","減肥可能")</f>
        <v>減肥可能</v>
      </c>
    </row>
    <row r="39" spans="1:11" x14ac:dyDescent="0.15">
      <c r="A39" t="s">
        <v>378</v>
      </c>
      <c r="B39">
        <f>IF(B33=0,-1,IF(B33=1,1,0))</f>
        <v>1</v>
      </c>
      <c r="C39">
        <f>IF(C33=0,-1,IF(C33=1,1,0))</f>
        <v>1</v>
      </c>
      <c r="D39">
        <f>IF(D33=0,-1,IF(D36="別途確認",0,IF(D38="補給",1,IF(D38="減肥",2,0))))</f>
        <v>2</v>
      </c>
      <c r="E39">
        <f>IF(E33=0,-1,IF(E36="別途確認",0,IF(E38="補給",1,IF(E38="減肥",2,0))))</f>
        <v>1</v>
      </c>
      <c r="F39">
        <f>IF(F38="従来",0,5)</f>
        <v>5</v>
      </c>
      <c r="H39" t="s">
        <v>551</v>
      </c>
    </row>
    <row r="40" spans="1:11" x14ac:dyDescent="0.15">
      <c r="A40" s="233" t="s">
        <v>375</v>
      </c>
      <c r="B40" s="233" t="s">
        <v>334</v>
      </c>
      <c r="C40" s="233" t="s">
        <v>335</v>
      </c>
      <c r="D40" s="233" t="s">
        <v>336</v>
      </c>
      <c r="E40" s="233"/>
      <c r="F40" s="233" t="s">
        <v>337</v>
      </c>
      <c r="G40" s="233"/>
      <c r="H40" s="233" t="s">
        <v>338</v>
      </c>
      <c r="I40" s="233"/>
    </row>
    <row r="41" spans="1:11" x14ac:dyDescent="0.15">
      <c r="A41" s="233"/>
      <c r="B41" s="233"/>
      <c r="C41" s="233"/>
      <c r="D41" s="1" t="s">
        <v>111</v>
      </c>
      <c r="E41" s="1" t="s">
        <v>112</v>
      </c>
      <c r="F41" s="1" t="s">
        <v>111</v>
      </c>
      <c r="G41" s="1" t="s">
        <v>112</v>
      </c>
      <c r="H41" s="1" t="s">
        <v>111</v>
      </c>
      <c r="I41" s="1" t="s">
        <v>112</v>
      </c>
    </row>
    <row r="42" spans="1:11" x14ac:dyDescent="0.15">
      <c r="A42" s="233"/>
      <c r="B42" s="34">
        <f>IF(B39=1,B36,IF(B35=999,"別途確認",B35))</f>
        <v>18</v>
      </c>
      <c r="C42" s="34">
        <f>IF(C39=1,C36,IF(C35=999,"別途確認",C35))</f>
        <v>5</v>
      </c>
      <c r="D42" s="34">
        <f>IF(D34=2,0,IF(D39=1,D36,VLOOKUP($F$6,旧施基!$A$5:$O$183,14,FALSE)))</f>
        <v>12</v>
      </c>
      <c r="E42" s="34">
        <f>IF(D34=2,"",IF(D39=1,"",IF(VLOOKUP($F$6,旧施基!$A$5:$O$183,15,FALSE)=0,"",VLOOKUP($F$6,旧施基!$A$5:$O$183,15,FALSE))))</f>
        <v>18</v>
      </c>
      <c r="F42" s="34">
        <f>IF(E34=2,0,IF(E39=1,E36,VLOOKUP($F$6,旧施基!$A$5:$O$183,11,FALSE)))</f>
        <v>10</v>
      </c>
      <c r="G42" s="34" t="str">
        <f>IF(E34=2,"",IF(E39=1,"",IF(VLOOKUP($F$6,旧施基!$A$5:$O$183,12,FALSE)=0,"",VLOOKUP($F$6,旧施基!$A$5:$O$183,12,FALSE)=0)))</f>
        <v/>
      </c>
      <c r="H42" s="34">
        <f>VLOOKUP($F$6,旧施基!$A$5:$O$183,5,FALSE)</f>
        <v>12</v>
      </c>
      <c r="I42" s="34">
        <f>IF(VLOOKUP($F$6,旧施基!$A$5:$O$183,6,FALSE)=0,"",VLOOKUP($F$6,旧施基!$A$5:$O$183,6,FALSE))</f>
        <v>18</v>
      </c>
    </row>
    <row r="43" spans="1:11" x14ac:dyDescent="0.15">
      <c r="A43" s="7" t="s">
        <v>635</v>
      </c>
      <c r="B43" s="60"/>
      <c r="C43" s="60"/>
      <c r="D43" s="57">
        <f>IF(D34=2,0,IF(D39=2,1,0))</f>
        <v>1</v>
      </c>
      <c r="E43" s="60"/>
      <c r="F43" s="57">
        <f>IF(E34=2,0,IF(E39=2,1,0))</f>
        <v>0</v>
      </c>
      <c r="G43" s="60"/>
      <c r="H43" s="60"/>
      <c r="I43" s="60"/>
      <c r="K43" t="s">
        <v>636</v>
      </c>
    </row>
    <row r="45" spans="1:11" x14ac:dyDescent="0.15">
      <c r="A45" t="s">
        <v>582</v>
      </c>
      <c r="B45" t="s">
        <v>334</v>
      </c>
      <c r="C45" t="s">
        <v>335</v>
      </c>
      <c r="D45" t="s">
        <v>336</v>
      </c>
      <c r="E45" t="s">
        <v>337</v>
      </c>
      <c r="F45" t="s">
        <v>581</v>
      </c>
    </row>
    <row r="46" spans="1:11" x14ac:dyDescent="0.15">
      <c r="A46" t="s">
        <v>583</v>
      </c>
      <c r="B46">
        <f>IF(B32=0,0,IF(B33=1,1,10))</f>
        <v>1</v>
      </c>
      <c r="C46">
        <f>IF(C32=0,0,IF(C33=1,1,10))</f>
        <v>1</v>
      </c>
      <c r="D46">
        <f>IF(D32=0,0,IF(D33=1,1,10))</f>
        <v>1</v>
      </c>
      <c r="E46">
        <f>IF(E32=0,0,IF(E33=1,1,10))</f>
        <v>1</v>
      </c>
      <c r="F46" t="str">
        <f>IF(SUM(B46:E46)&gt;9,"目標未満","目標ｸﾘｱ")</f>
        <v>目標ｸﾘｱ</v>
      </c>
      <c r="G46" t="s">
        <v>584</v>
      </c>
    </row>
  </sheetData>
  <mergeCells count="6">
    <mergeCell ref="F40:G40"/>
    <mergeCell ref="H40:I40"/>
    <mergeCell ref="A40:A42"/>
    <mergeCell ref="B40:B41"/>
    <mergeCell ref="C40:C41"/>
    <mergeCell ref="D40:E40"/>
  </mergeCells>
  <phoneticPr fontId="2"/>
  <pageMargins left="0.75" right="0.75" top="1" bottom="1" header="0.51200000000000001" footer="0.51200000000000001"/>
  <pageSetup paperSize="9"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94"/>
  <sheetViews>
    <sheetView workbookViewId="0"/>
  </sheetViews>
  <sheetFormatPr defaultRowHeight="13.5" x14ac:dyDescent="0.15"/>
  <cols>
    <col min="1" max="1" width="6.5" bestFit="1" customWidth="1"/>
    <col min="2" max="2" width="5.875" bestFit="1" customWidth="1"/>
    <col min="3" max="3" width="4.625" customWidth="1"/>
    <col min="4" max="4" width="16.5" bestFit="1" customWidth="1"/>
    <col min="5" max="12" width="9" style="2"/>
    <col min="13" max="13" width="12.25" style="4" bestFit="1" customWidth="1"/>
  </cols>
  <sheetData>
    <row r="1" spans="1:14" x14ac:dyDescent="0.15">
      <c r="C1" t="s">
        <v>0</v>
      </c>
    </row>
    <row r="2" spans="1:14" x14ac:dyDescent="0.15">
      <c r="A2" s="234" t="s">
        <v>14</v>
      </c>
      <c r="B2" s="234" t="s">
        <v>105</v>
      </c>
      <c r="C2" s="234" t="s">
        <v>15</v>
      </c>
      <c r="D2" s="233" t="s">
        <v>1</v>
      </c>
      <c r="E2" s="236" t="s">
        <v>2</v>
      </c>
      <c r="F2" s="236" t="s">
        <v>3</v>
      </c>
      <c r="G2" s="236" t="s">
        <v>4</v>
      </c>
      <c r="H2" s="236"/>
      <c r="I2" s="236"/>
      <c r="J2" s="236"/>
      <c r="K2" s="236" t="s">
        <v>9</v>
      </c>
      <c r="L2" s="236"/>
      <c r="M2" s="235" t="s">
        <v>13</v>
      </c>
      <c r="N2" s="233" t="s">
        <v>12</v>
      </c>
    </row>
    <row r="3" spans="1:14" x14ac:dyDescent="0.15">
      <c r="A3" s="233"/>
      <c r="B3" s="234"/>
      <c r="C3" s="233"/>
      <c r="D3" s="233"/>
      <c r="E3" s="236"/>
      <c r="F3" s="236"/>
      <c r="G3" s="3" t="s">
        <v>5</v>
      </c>
      <c r="H3" s="3" t="s">
        <v>6</v>
      </c>
      <c r="I3" s="3" t="s">
        <v>7</v>
      </c>
      <c r="J3" s="3" t="s">
        <v>8</v>
      </c>
      <c r="K3" s="3" t="s">
        <v>10</v>
      </c>
      <c r="L3" s="3" t="s">
        <v>11</v>
      </c>
      <c r="M3" s="235"/>
      <c r="N3" s="233"/>
    </row>
    <row r="4" spans="1:14" x14ac:dyDescent="0.15">
      <c r="A4">
        <f>表紙!AK58</f>
        <v>101</v>
      </c>
      <c r="B4" t="s">
        <v>23</v>
      </c>
      <c r="C4">
        <v>1</v>
      </c>
      <c r="D4" t="s">
        <v>22</v>
      </c>
      <c r="E4" s="2">
        <v>6</v>
      </c>
      <c r="F4" s="2">
        <v>0.1</v>
      </c>
      <c r="G4" s="2">
        <v>60</v>
      </c>
      <c r="H4" s="2">
        <v>48</v>
      </c>
      <c r="I4" s="2">
        <v>10</v>
      </c>
      <c r="J4" s="2">
        <v>2</v>
      </c>
      <c r="K4" s="2">
        <v>4</v>
      </c>
      <c r="L4" s="2">
        <v>2</v>
      </c>
      <c r="M4" s="4">
        <v>16</v>
      </c>
    </row>
    <row r="5" spans="1:14" x14ac:dyDescent="0.15">
      <c r="A5">
        <f>表紙!AK59</f>
        <v>102</v>
      </c>
      <c r="B5" t="s">
        <v>23</v>
      </c>
      <c r="C5">
        <v>2</v>
      </c>
      <c r="D5" t="s">
        <v>16</v>
      </c>
      <c r="E5" s="2">
        <v>6</v>
      </c>
      <c r="F5" s="2">
        <v>0.1</v>
      </c>
      <c r="G5" s="2">
        <v>60</v>
      </c>
      <c r="H5" s="2">
        <v>48</v>
      </c>
      <c r="I5" s="2">
        <v>10</v>
      </c>
      <c r="J5" s="2">
        <v>2</v>
      </c>
      <c r="K5" s="2">
        <v>4</v>
      </c>
      <c r="L5" s="2">
        <v>2</v>
      </c>
      <c r="M5" s="4">
        <v>16</v>
      </c>
    </row>
    <row r="6" spans="1:14" x14ac:dyDescent="0.15">
      <c r="A6">
        <f>表紙!AK60</f>
        <v>103</v>
      </c>
      <c r="B6" t="s">
        <v>23</v>
      </c>
      <c r="C6">
        <v>3</v>
      </c>
      <c r="D6" t="s">
        <v>17</v>
      </c>
      <c r="E6" s="2">
        <v>6</v>
      </c>
      <c r="F6" s="2">
        <v>0.1</v>
      </c>
      <c r="G6" s="2">
        <v>60</v>
      </c>
      <c r="H6" s="2">
        <v>48</v>
      </c>
      <c r="I6" s="2">
        <v>10</v>
      </c>
      <c r="J6" s="2">
        <v>2</v>
      </c>
      <c r="K6" s="2">
        <v>4</v>
      </c>
      <c r="L6" s="2">
        <v>2</v>
      </c>
      <c r="M6" s="4">
        <v>16</v>
      </c>
    </row>
    <row r="7" spans="1:14" x14ac:dyDescent="0.15">
      <c r="A7">
        <f>表紙!AK61</f>
        <v>104</v>
      </c>
      <c r="B7" t="s">
        <v>23</v>
      </c>
      <c r="C7">
        <v>4</v>
      </c>
      <c r="D7" t="s">
        <v>18</v>
      </c>
      <c r="E7" s="2">
        <v>6</v>
      </c>
      <c r="F7" s="2">
        <v>0.1</v>
      </c>
      <c r="G7" s="2">
        <v>60</v>
      </c>
      <c r="H7" s="2">
        <v>48</v>
      </c>
      <c r="I7" s="2">
        <v>10</v>
      </c>
      <c r="J7" s="2">
        <v>2</v>
      </c>
      <c r="K7" s="2">
        <v>4</v>
      </c>
      <c r="L7" s="2">
        <v>2</v>
      </c>
      <c r="M7" s="4">
        <v>16</v>
      </c>
    </row>
    <row r="8" spans="1:14" x14ac:dyDescent="0.15">
      <c r="A8">
        <f>表紙!AK62</f>
        <v>105</v>
      </c>
      <c r="B8" t="s">
        <v>23</v>
      </c>
      <c r="C8">
        <v>5</v>
      </c>
      <c r="D8" t="s">
        <v>19</v>
      </c>
      <c r="E8" s="2">
        <v>6</v>
      </c>
      <c r="F8" s="2">
        <v>0.1</v>
      </c>
      <c r="G8" s="2">
        <v>60</v>
      </c>
      <c r="H8" s="2">
        <v>48</v>
      </c>
      <c r="I8" s="2">
        <v>10</v>
      </c>
      <c r="J8" s="2">
        <v>2</v>
      </c>
      <c r="K8" s="2">
        <v>4</v>
      </c>
      <c r="L8" s="2">
        <v>2</v>
      </c>
      <c r="M8" s="4">
        <v>16</v>
      </c>
    </row>
    <row r="9" spans="1:14" x14ac:dyDescent="0.15">
      <c r="A9">
        <f>表紙!AK63</f>
        <v>106</v>
      </c>
      <c r="B9" t="s">
        <v>23</v>
      </c>
      <c r="C9">
        <v>6</v>
      </c>
      <c r="D9" t="s">
        <v>20</v>
      </c>
      <c r="E9" s="2">
        <v>6</v>
      </c>
      <c r="F9" s="2">
        <v>0.1</v>
      </c>
      <c r="G9" s="2">
        <v>60</v>
      </c>
      <c r="H9" s="2">
        <v>48</v>
      </c>
      <c r="I9" s="2">
        <v>10</v>
      </c>
      <c r="J9" s="2">
        <v>2</v>
      </c>
      <c r="K9" s="2">
        <v>4</v>
      </c>
      <c r="L9" s="2">
        <v>2</v>
      </c>
      <c r="M9" s="4">
        <v>16</v>
      </c>
    </row>
    <row r="10" spans="1:14" x14ac:dyDescent="0.15">
      <c r="A10">
        <f>表紙!AK64</f>
        <v>107</v>
      </c>
      <c r="B10" t="s">
        <v>23</v>
      </c>
      <c r="C10">
        <v>7</v>
      </c>
      <c r="D10" t="s">
        <v>21</v>
      </c>
      <c r="E10" s="2">
        <v>6</v>
      </c>
      <c r="F10" s="2">
        <v>0.1</v>
      </c>
      <c r="G10" s="2">
        <v>60</v>
      </c>
      <c r="H10" s="2">
        <v>48</v>
      </c>
      <c r="I10" s="2">
        <v>10</v>
      </c>
      <c r="J10" s="2">
        <v>2</v>
      </c>
      <c r="K10" s="2">
        <v>4</v>
      </c>
      <c r="L10" s="2">
        <v>2</v>
      </c>
      <c r="M10" s="4">
        <v>16</v>
      </c>
    </row>
    <row r="11" spans="1:14" x14ac:dyDescent="0.15">
      <c r="B11" t="s">
        <v>23</v>
      </c>
      <c r="C11" t="s">
        <v>315</v>
      </c>
      <c r="D11" t="s">
        <v>25</v>
      </c>
      <c r="E11" s="2">
        <v>5.5</v>
      </c>
      <c r="F11" s="2">
        <v>0.1</v>
      </c>
      <c r="G11" s="2">
        <v>40</v>
      </c>
      <c r="H11" s="2">
        <v>31</v>
      </c>
      <c r="I11" s="2">
        <v>7</v>
      </c>
      <c r="J11" s="2">
        <v>2</v>
      </c>
      <c r="K11" s="2">
        <v>4</v>
      </c>
      <c r="L11" s="2">
        <v>2</v>
      </c>
      <c r="M11" s="4">
        <v>16</v>
      </c>
    </row>
    <row r="12" spans="1:14" x14ac:dyDescent="0.15">
      <c r="B12" t="s">
        <v>23</v>
      </c>
      <c r="C12" t="s">
        <v>315</v>
      </c>
      <c r="D12" t="s">
        <v>27</v>
      </c>
      <c r="E12" s="2">
        <v>6</v>
      </c>
      <c r="F12" s="2">
        <v>0.1</v>
      </c>
      <c r="G12" s="2">
        <v>60</v>
      </c>
      <c r="H12" s="2">
        <v>48</v>
      </c>
      <c r="I12" s="2">
        <v>10</v>
      </c>
      <c r="J12" s="2">
        <v>2</v>
      </c>
      <c r="K12" s="2">
        <v>4</v>
      </c>
      <c r="L12" s="2">
        <v>2</v>
      </c>
      <c r="M12" s="4">
        <v>16</v>
      </c>
    </row>
    <row r="13" spans="1:14" x14ac:dyDescent="0.15">
      <c r="B13" t="s">
        <v>23</v>
      </c>
      <c r="C13" t="s">
        <v>315</v>
      </c>
      <c r="D13" t="s">
        <v>28</v>
      </c>
      <c r="E13" s="2">
        <v>5.5</v>
      </c>
      <c r="F13" s="2">
        <v>0.1</v>
      </c>
      <c r="G13" s="2">
        <v>40</v>
      </c>
      <c r="H13" s="2">
        <v>30</v>
      </c>
      <c r="I13" s="2">
        <v>7</v>
      </c>
      <c r="J13" s="2">
        <v>3</v>
      </c>
      <c r="K13" s="2">
        <v>4</v>
      </c>
      <c r="L13" s="2">
        <v>2</v>
      </c>
      <c r="M13" s="4">
        <v>16</v>
      </c>
    </row>
    <row r="14" spans="1:14" x14ac:dyDescent="0.15">
      <c r="B14" t="s">
        <v>23</v>
      </c>
      <c r="C14" t="s">
        <v>315</v>
      </c>
      <c r="D14" t="s">
        <v>29</v>
      </c>
      <c r="E14" s="2">
        <v>6</v>
      </c>
      <c r="F14" s="2">
        <v>0.1</v>
      </c>
      <c r="G14" s="2">
        <v>60</v>
      </c>
      <c r="H14" s="2">
        <v>48</v>
      </c>
      <c r="I14" s="2">
        <v>10</v>
      </c>
      <c r="J14" s="2">
        <v>2</v>
      </c>
      <c r="K14" s="2">
        <v>4</v>
      </c>
      <c r="L14" s="2">
        <v>2</v>
      </c>
      <c r="M14" s="4">
        <v>10</v>
      </c>
    </row>
    <row r="15" spans="1:14" x14ac:dyDescent="0.15">
      <c r="A15">
        <f>表紙!AK65</f>
        <v>201</v>
      </c>
      <c r="B15" t="s">
        <v>24</v>
      </c>
      <c r="C15">
        <v>12</v>
      </c>
      <c r="D15" t="s">
        <v>30</v>
      </c>
      <c r="E15" s="2">
        <v>6</v>
      </c>
      <c r="F15" s="2">
        <v>0.3</v>
      </c>
      <c r="G15" s="2">
        <v>60</v>
      </c>
      <c r="H15" s="2">
        <v>48</v>
      </c>
      <c r="I15" s="2">
        <v>10</v>
      </c>
      <c r="J15" s="2">
        <v>2</v>
      </c>
      <c r="K15" s="2">
        <v>4</v>
      </c>
      <c r="L15" s="2">
        <v>2</v>
      </c>
      <c r="M15" s="4">
        <v>20</v>
      </c>
    </row>
    <row r="16" spans="1:14" x14ac:dyDescent="0.15">
      <c r="A16">
        <f>表紙!AK66</f>
        <v>202</v>
      </c>
      <c r="B16" t="s">
        <v>24</v>
      </c>
      <c r="C16">
        <v>13</v>
      </c>
      <c r="D16" t="s">
        <v>31</v>
      </c>
      <c r="E16" s="2">
        <v>6</v>
      </c>
      <c r="F16" s="2">
        <v>0.3</v>
      </c>
      <c r="G16" s="2">
        <v>60</v>
      </c>
      <c r="H16" s="2">
        <v>48</v>
      </c>
      <c r="I16" s="2">
        <v>10</v>
      </c>
      <c r="J16" s="2">
        <v>2</v>
      </c>
      <c r="K16" s="2">
        <v>4</v>
      </c>
      <c r="L16" s="2">
        <v>2</v>
      </c>
      <c r="M16" s="4">
        <v>20</v>
      </c>
    </row>
    <row r="17" spans="1:13" x14ac:dyDescent="0.15">
      <c r="A17">
        <f>表紙!AK67</f>
        <v>203</v>
      </c>
      <c r="B17" t="s">
        <v>24</v>
      </c>
      <c r="C17">
        <v>14</v>
      </c>
      <c r="D17" t="s">
        <v>32</v>
      </c>
      <c r="E17" s="2">
        <v>6</v>
      </c>
      <c r="F17" s="2">
        <v>0.3</v>
      </c>
      <c r="G17" s="2">
        <v>60</v>
      </c>
      <c r="H17" s="2">
        <v>48</v>
      </c>
      <c r="I17" s="2">
        <v>10</v>
      </c>
      <c r="J17" s="2">
        <v>2</v>
      </c>
      <c r="K17" s="2">
        <v>4</v>
      </c>
      <c r="L17" s="2">
        <v>2</v>
      </c>
      <c r="M17" s="4">
        <v>20</v>
      </c>
    </row>
    <row r="18" spans="1:13" x14ac:dyDescent="0.15">
      <c r="A18">
        <f>表紙!AK68</f>
        <v>204</v>
      </c>
      <c r="B18" t="s">
        <v>24</v>
      </c>
      <c r="C18">
        <v>15</v>
      </c>
      <c r="D18" t="s">
        <v>34</v>
      </c>
      <c r="E18" s="2">
        <v>6</v>
      </c>
      <c r="F18" s="2">
        <v>0.3</v>
      </c>
      <c r="G18" s="2">
        <v>60</v>
      </c>
      <c r="H18" s="2">
        <v>48</v>
      </c>
      <c r="I18" s="2">
        <v>10</v>
      </c>
      <c r="J18" s="2">
        <v>2</v>
      </c>
      <c r="K18" s="2">
        <v>4</v>
      </c>
      <c r="L18" s="2">
        <v>2</v>
      </c>
      <c r="M18" s="4">
        <v>20</v>
      </c>
    </row>
    <row r="19" spans="1:13" x14ac:dyDescent="0.15">
      <c r="A19">
        <f>表紙!AK69</f>
        <v>205</v>
      </c>
      <c r="B19" t="s">
        <v>24</v>
      </c>
      <c r="C19">
        <v>16</v>
      </c>
      <c r="D19" t="s">
        <v>35</v>
      </c>
      <c r="E19" s="2">
        <v>5.5</v>
      </c>
      <c r="F19" s="2">
        <v>0.1</v>
      </c>
      <c r="G19" s="2">
        <v>40</v>
      </c>
      <c r="H19" s="2">
        <v>30</v>
      </c>
      <c r="I19" s="2">
        <v>7</v>
      </c>
      <c r="J19" s="2">
        <v>3</v>
      </c>
      <c r="K19" s="2">
        <v>4</v>
      </c>
      <c r="L19" s="2">
        <v>2</v>
      </c>
      <c r="M19" s="4">
        <v>16</v>
      </c>
    </row>
    <row r="20" spans="1:13" x14ac:dyDescent="0.15">
      <c r="A20">
        <f>表紙!AK70</f>
        <v>206</v>
      </c>
      <c r="B20" t="s">
        <v>24</v>
      </c>
      <c r="C20">
        <v>17</v>
      </c>
      <c r="D20" t="s">
        <v>33</v>
      </c>
      <c r="E20" s="2">
        <v>6</v>
      </c>
      <c r="F20" s="2">
        <v>0.3</v>
      </c>
      <c r="G20" s="2">
        <v>60</v>
      </c>
      <c r="H20" s="2">
        <v>48</v>
      </c>
      <c r="I20" s="2">
        <v>10</v>
      </c>
      <c r="J20" s="2">
        <v>2</v>
      </c>
      <c r="K20" s="2">
        <v>4</v>
      </c>
      <c r="L20" s="2">
        <v>2</v>
      </c>
      <c r="M20" s="4">
        <v>20</v>
      </c>
    </row>
    <row r="21" spans="1:13" x14ac:dyDescent="0.15">
      <c r="A21">
        <f>表紙!AK71</f>
        <v>207</v>
      </c>
      <c r="B21" t="s">
        <v>24</v>
      </c>
      <c r="C21">
        <v>18</v>
      </c>
      <c r="D21" t="s">
        <v>36</v>
      </c>
      <c r="E21" s="2">
        <v>6</v>
      </c>
      <c r="F21" s="2">
        <v>0.3</v>
      </c>
      <c r="G21" s="2">
        <v>60</v>
      </c>
      <c r="H21" s="2">
        <v>48</v>
      </c>
      <c r="I21" s="2">
        <v>10</v>
      </c>
      <c r="J21" s="2">
        <v>2</v>
      </c>
      <c r="K21" s="2">
        <v>4</v>
      </c>
      <c r="L21" s="2">
        <v>2</v>
      </c>
      <c r="M21" s="4">
        <v>20</v>
      </c>
    </row>
    <row r="22" spans="1:13" x14ac:dyDescent="0.15">
      <c r="A22">
        <f>表紙!AK72</f>
        <v>208</v>
      </c>
      <c r="B22" t="s">
        <v>24</v>
      </c>
      <c r="C22">
        <v>19</v>
      </c>
      <c r="D22" t="s">
        <v>38</v>
      </c>
      <c r="E22" s="2">
        <v>6</v>
      </c>
      <c r="F22" s="2">
        <v>0.3</v>
      </c>
      <c r="G22" s="2">
        <v>60</v>
      </c>
      <c r="H22" s="2">
        <v>48</v>
      </c>
      <c r="I22" s="2">
        <v>10</v>
      </c>
      <c r="J22" s="2">
        <v>2</v>
      </c>
      <c r="K22" s="2">
        <v>4</v>
      </c>
      <c r="L22" s="2">
        <v>2</v>
      </c>
      <c r="M22" s="4">
        <v>20</v>
      </c>
    </row>
    <row r="23" spans="1:13" x14ac:dyDescent="0.15">
      <c r="A23">
        <f>表紙!AK73</f>
        <v>209</v>
      </c>
      <c r="B23" t="s">
        <v>24</v>
      </c>
      <c r="C23">
        <v>20</v>
      </c>
      <c r="D23" t="s">
        <v>40</v>
      </c>
      <c r="E23" s="2">
        <v>6</v>
      </c>
      <c r="F23" s="2">
        <v>0.1</v>
      </c>
      <c r="G23" s="2">
        <v>60</v>
      </c>
      <c r="H23" s="2">
        <v>48</v>
      </c>
      <c r="I23" s="2">
        <v>10</v>
      </c>
      <c r="J23" s="2">
        <v>2</v>
      </c>
      <c r="K23" s="2">
        <v>4</v>
      </c>
      <c r="L23" s="2">
        <v>2</v>
      </c>
      <c r="M23" s="4">
        <v>16</v>
      </c>
    </row>
    <row r="24" spans="1:13" x14ac:dyDescent="0.15">
      <c r="A24">
        <f>表紙!AK74</f>
        <v>210</v>
      </c>
      <c r="B24" t="s">
        <v>24</v>
      </c>
      <c r="C24">
        <v>21</v>
      </c>
      <c r="D24" t="s">
        <v>39</v>
      </c>
      <c r="E24" s="2">
        <v>5.5</v>
      </c>
      <c r="F24" s="2">
        <v>0.1</v>
      </c>
      <c r="G24" s="2">
        <v>40</v>
      </c>
      <c r="H24" s="2">
        <v>31</v>
      </c>
      <c r="I24" s="2">
        <v>7</v>
      </c>
      <c r="J24" s="2">
        <v>2</v>
      </c>
      <c r="K24" s="2">
        <v>4</v>
      </c>
      <c r="L24" s="2">
        <v>2</v>
      </c>
      <c r="M24" s="4">
        <v>16</v>
      </c>
    </row>
    <row r="25" spans="1:13" x14ac:dyDescent="0.15">
      <c r="A25">
        <f>表紙!AK75</f>
        <v>211</v>
      </c>
      <c r="B25" t="s">
        <v>24</v>
      </c>
      <c r="C25">
        <v>22</v>
      </c>
      <c r="D25" t="s">
        <v>41</v>
      </c>
      <c r="E25" s="2">
        <v>6</v>
      </c>
      <c r="F25" s="2">
        <v>0.1</v>
      </c>
      <c r="G25" s="2">
        <v>60</v>
      </c>
      <c r="H25" s="2">
        <v>48</v>
      </c>
      <c r="I25" s="2">
        <v>10</v>
      </c>
      <c r="J25" s="2">
        <v>2</v>
      </c>
      <c r="K25" s="2">
        <v>4</v>
      </c>
      <c r="L25" s="2">
        <v>2</v>
      </c>
      <c r="M25" s="4">
        <v>16</v>
      </c>
    </row>
    <row r="26" spans="1:13" x14ac:dyDescent="0.15">
      <c r="A26">
        <f>表紙!AK76</f>
        <v>212</v>
      </c>
      <c r="B26" t="s">
        <v>24</v>
      </c>
      <c r="C26">
        <v>23</v>
      </c>
      <c r="D26" t="s">
        <v>42</v>
      </c>
      <c r="E26" s="2">
        <v>6</v>
      </c>
      <c r="F26" s="2">
        <v>0.3</v>
      </c>
      <c r="G26" s="2">
        <v>60</v>
      </c>
      <c r="H26" s="2">
        <v>48</v>
      </c>
      <c r="I26" s="2">
        <v>10</v>
      </c>
      <c r="J26" s="2">
        <v>2</v>
      </c>
      <c r="K26" s="2">
        <v>4</v>
      </c>
      <c r="L26" s="2">
        <v>2</v>
      </c>
      <c r="M26" s="4">
        <v>20</v>
      </c>
    </row>
    <row r="27" spans="1:13" x14ac:dyDescent="0.15">
      <c r="A27">
        <f>表紙!AK77</f>
        <v>213</v>
      </c>
      <c r="B27" t="s">
        <v>24</v>
      </c>
      <c r="C27">
        <v>24</v>
      </c>
      <c r="D27" t="s">
        <v>43</v>
      </c>
      <c r="E27" s="2">
        <v>6</v>
      </c>
      <c r="F27" s="2">
        <v>0.1</v>
      </c>
      <c r="G27" s="2">
        <v>60</v>
      </c>
      <c r="H27" s="2">
        <v>48</v>
      </c>
      <c r="I27" s="2">
        <v>10</v>
      </c>
      <c r="J27" s="2">
        <v>2</v>
      </c>
      <c r="K27" s="2">
        <v>4</v>
      </c>
      <c r="L27" s="2">
        <v>2</v>
      </c>
      <c r="M27" s="4">
        <v>16</v>
      </c>
    </row>
    <row r="28" spans="1:13" x14ac:dyDescent="0.15">
      <c r="A28">
        <f>表紙!AK78</f>
        <v>214</v>
      </c>
      <c r="B28" t="s">
        <v>24</v>
      </c>
      <c r="C28">
        <v>25</v>
      </c>
      <c r="D28" t="s">
        <v>26</v>
      </c>
      <c r="E28" s="2">
        <v>5.5</v>
      </c>
      <c r="F28" s="2">
        <v>0.1</v>
      </c>
      <c r="G28" s="2">
        <v>40</v>
      </c>
      <c r="H28" s="2">
        <v>31</v>
      </c>
      <c r="I28" s="2">
        <v>7</v>
      </c>
      <c r="J28" s="2">
        <v>2</v>
      </c>
      <c r="K28" s="2">
        <v>4</v>
      </c>
      <c r="L28" s="2">
        <v>2</v>
      </c>
      <c r="M28" s="4">
        <v>16</v>
      </c>
    </row>
    <row r="29" spans="1:13" x14ac:dyDescent="0.15">
      <c r="A29">
        <f>表紙!AK79</f>
        <v>215</v>
      </c>
      <c r="B29" t="s">
        <v>24</v>
      </c>
      <c r="C29">
        <v>26</v>
      </c>
      <c r="D29" t="s">
        <v>45</v>
      </c>
      <c r="E29" s="2">
        <v>5.5</v>
      </c>
      <c r="F29" s="2">
        <v>0.1</v>
      </c>
      <c r="G29" s="2">
        <v>40</v>
      </c>
      <c r="H29" s="2">
        <v>31</v>
      </c>
      <c r="I29" s="2">
        <v>7</v>
      </c>
      <c r="J29" s="2">
        <v>2</v>
      </c>
      <c r="K29" s="2">
        <v>4</v>
      </c>
      <c r="L29" s="2">
        <v>2</v>
      </c>
      <c r="M29" s="4">
        <v>20</v>
      </c>
    </row>
    <row r="30" spans="1:13" x14ac:dyDescent="0.15">
      <c r="A30">
        <f>表紙!AK80</f>
        <v>216</v>
      </c>
      <c r="B30" t="s">
        <v>24</v>
      </c>
      <c r="C30">
        <v>27</v>
      </c>
      <c r="D30" t="s">
        <v>44</v>
      </c>
      <c r="E30" s="2">
        <v>6</v>
      </c>
      <c r="F30" s="2">
        <v>0.3</v>
      </c>
      <c r="G30" s="2">
        <v>60</v>
      </c>
      <c r="H30" s="2">
        <v>48</v>
      </c>
      <c r="I30" s="2">
        <v>10</v>
      </c>
      <c r="J30" s="2">
        <v>2</v>
      </c>
      <c r="K30" s="2">
        <v>4</v>
      </c>
      <c r="L30" s="2">
        <v>2</v>
      </c>
      <c r="M30" s="4">
        <v>20</v>
      </c>
    </row>
    <row r="31" spans="1:13" x14ac:dyDescent="0.15">
      <c r="A31">
        <f>表紙!AK81</f>
        <v>217</v>
      </c>
      <c r="B31" t="s">
        <v>24</v>
      </c>
      <c r="C31">
        <v>28</v>
      </c>
      <c r="D31" t="s">
        <v>47</v>
      </c>
      <c r="E31" s="2">
        <v>6</v>
      </c>
      <c r="F31" s="2">
        <v>0.1</v>
      </c>
      <c r="G31" s="2">
        <v>60</v>
      </c>
      <c r="H31" s="2">
        <v>48</v>
      </c>
      <c r="I31" s="2">
        <v>10</v>
      </c>
      <c r="J31" s="2">
        <v>2</v>
      </c>
      <c r="K31" s="2">
        <v>4</v>
      </c>
      <c r="L31" s="2">
        <v>2</v>
      </c>
      <c r="M31" s="4">
        <v>16</v>
      </c>
    </row>
    <row r="32" spans="1:13" x14ac:dyDescent="0.15">
      <c r="A32">
        <f>表紙!AK82</f>
        <v>218</v>
      </c>
      <c r="B32" t="s">
        <v>24</v>
      </c>
      <c r="C32">
        <v>29</v>
      </c>
      <c r="D32" t="s">
        <v>49</v>
      </c>
      <c r="E32" s="2">
        <v>6</v>
      </c>
      <c r="F32" s="2">
        <v>0.1</v>
      </c>
      <c r="G32" s="2">
        <v>60</v>
      </c>
      <c r="H32" s="2">
        <v>48</v>
      </c>
      <c r="I32" s="2">
        <v>10</v>
      </c>
      <c r="J32" s="2">
        <v>2</v>
      </c>
      <c r="K32" s="2">
        <v>4</v>
      </c>
      <c r="L32" s="2">
        <v>2</v>
      </c>
      <c r="M32" s="4">
        <v>16</v>
      </c>
    </row>
    <row r="33" spans="1:13" x14ac:dyDescent="0.15">
      <c r="A33">
        <f>表紙!AK83</f>
        <v>219</v>
      </c>
      <c r="B33" t="s">
        <v>24</v>
      </c>
      <c r="C33">
        <v>30</v>
      </c>
      <c r="D33" t="s">
        <v>50</v>
      </c>
      <c r="E33" s="2">
        <v>6</v>
      </c>
      <c r="F33" s="2">
        <v>0.3</v>
      </c>
      <c r="G33" s="2">
        <v>60</v>
      </c>
      <c r="H33" s="2">
        <v>48</v>
      </c>
      <c r="I33" s="2">
        <v>10</v>
      </c>
      <c r="J33" s="2">
        <v>2</v>
      </c>
      <c r="K33" s="2">
        <v>4</v>
      </c>
      <c r="L33" s="2">
        <v>2</v>
      </c>
      <c r="M33" s="4">
        <v>20</v>
      </c>
    </row>
    <row r="34" spans="1:13" x14ac:dyDescent="0.15">
      <c r="A34">
        <f>表紙!AK84</f>
        <v>220</v>
      </c>
      <c r="B34" t="s">
        <v>24</v>
      </c>
      <c r="C34">
        <v>31</v>
      </c>
      <c r="D34" t="s">
        <v>51</v>
      </c>
      <c r="E34" s="2">
        <v>6</v>
      </c>
      <c r="F34" s="2">
        <v>0.3</v>
      </c>
      <c r="G34" s="2">
        <v>60</v>
      </c>
      <c r="H34" s="2">
        <v>48</v>
      </c>
      <c r="I34" s="2">
        <v>10</v>
      </c>
      <c r="J34" s="2">
        <v>2</v>
      </c>
      <c r="K34" s="2">
        <v>4</v>
      </c>
      <c r="L34" s="2">
        <v>2</v>
      </c>
      <c r="M34" s="4">
        <v>20</v>
      </c>
    </row>
    <row r="35" spans="1:13" x14ac:dyDescent="0.15">
      <c r="A35">
        <f>表紙!AK85</f>
        <v>221</v>
      </c>
      <c r="B35" t="s">
        <v>24</v>
      </c>
      <c r="C35">
        <v>32</v>
      </c>
      <c r="D35" t="s">
        <v>52</v>
      </c>
      <c r="E35" s="2">
        <v>6</v>
      </c>
      <c r="F35" s="2">
        <v>0.3</v>
      </c>
      <c r="G35" s="2">
        <v>60</v>
      </c>
      <c r="H35" s="2">
        <v>48</v>
      </c>
      <c r="I35" s="2">
        <v>10</v>
      </c>
      <c r="J35" s="2">
        <v>2</v>
      </c>
      <c r="K35" s="2">
        <v>4</v>
      </c>
      <c r="L35" s="2">
        <v>2</v>
      </c>
      <c r="M35" s="4">
        <v>20</v>
      </c>
    </row>
    <row r="36" spans="1:13" x14ac:dyDescent="0.15">
      <c r="A36">
        <f>表紙!AK86</f>
        <v>222</v>
      </c>
      <c r="B36" t="s">
        <v>24</v>
      </c>
      <c r="C36">
        <v>33</v>
      </c>
      <c r="D36" t="s">
        <v>55</v>
      </c>
      <c r="E36" s="2">
        <v>6.5</v>
      </c>
      <c r="F36" s="2">
        <v>0.1</v>
      </c>
      <c r="G36" s="2">
        <v>80</v>
      </c>
      <c r="H36" s="2">
        <v>62</v>
      </c>
      <c r="I36" s="2">
        <v>15</v>
      </c>
      <c r="J36" s="2">
        <v>3</v>
      </c>
      <c r="K36" s="2">
        <v>4</v>
      </c>
      <c r="L36" s="2">
        <v>2</v>
      </c>
      <c r="M36" s="4">
        <v>20</v>
      </c>
    </row>
    <row r="37" spans="1:13" x14ac:dyDescent="0.15">
      <c r="A37">
        <f>表紙!AK87</f>
        <v>223</v>
      </c>
      <c r="B37" t="s">
        <v>24</v>
      </c>
      <c r="C37">
        <v>34</v>
      </c>
      <c r="D37" t="s">
        <v>48</v>
      </c>
      <c r="E37" s="2">
        <v>6</v>
      </c>
      <c r="F37" s="2">
        <v>0.3</v>
      </c>
      <c r="G37" s="2">
        <v>60</v>
      </c>
      <c r="H37" s="2">
        <v>48</v>
      </c>
      <c r="I37" s="2">
        <v>10</v>
      </c>
      <c r="J37" s="2">
        <v>2</v>
      </c>
      <c r="K37" s="2">
        <v>4</v>
      </c>
      <c r="L37" s="2">
        <v>2</v>
      </c>
      <c r="M37" s="4">
        <v>20</v>
      </c>
    </row>
    <row r="38" spans="1:13" x14ac:dyDescent="0.15">
      <c r="A38">
        <f>表紙!AK88</f>
        <v>224</v>
      </c>
      <c r="B38" t="s">
        <v>24</v>
      </c>
      <c r="C38">
        <v>35</v>
      </c>
      <c r="D38" t="s">
        <v>66</v>
      </c>
      <c r="E38" s="2">
        <v>6</v>
      </c>
      <c r="F38" s="2">
        <v>0.3</v>
      </c>
      <c r="G38" s="2">
        <v>60</v>
      </c>
      <c r="H38" s="2">
        <v>48</v>
      </c>
      <c r="I38" s="2">
        <v>10</v>
      </c>
      <c r="J38" s="2">
        <v>2</v>
      </c>
      <c r="K38" s="2">
        <v>4</v>
      </c>
      <c r="L38" s="2">
        <v>2</v>
      </c>
      <c r="M38" s="4">
        <v>20</v>
      </c>
    </row>
    <row r="39" spans="1:13" x14ac:dyDescent="0.15">
      <c r="A39">
        <f>表紙!AK89</f>
        <v>225</v>
      </c>
      <c r="B39" t="s">
        <v>24</v>
      </c>
      <c r="C39">
        <v>36</v>
      </c>
      <c r="D39" t="s">
        <v>53</v>
      </c>
      <c r="E39" s="2">
        <v>6</v>
      </c>
      <c r="F39" s="2">
        <v>0.3</v>
      </c>
      <c r="G39" s="2">
        <v>60</v>
      </c>
      <c r="H39" s="2">
        <v>48</v>
      </c>
      <c r="I39" s="2">
        <v>10</v>
      </c>
      <c r="J39" s="2">
        <v>2</v>
      </c>
      <c r="K39" s="2">
        <v>4</v>
      </c>
      <c r="L39" s="2">
        <v>2</v>
      </c>
      <c r="M39" s="4">
        <v>20</v>
      </c>
    </row>
    <row r="40" spans="1:13" x14ac:dyDescent="0.15">
      <c r="A40">
        <f>表紙!AK90</f>
        <v>226</v>
      </c>
      <c r="B40" t="s">
        <v>24</v>
      </c>
      <c r="C40">
        <v>37</v>
      </c>
      <c r="D40" t="s">
        <v>54</v>
      </c>
      <c r="E40" s="2">
        <v>6</v>
      </c>
      <c r="F40" s="2">
        <v>0.1</v>
      </c>
      <c r="G40" s="2">
        <v>60</v>
      </c>
      <c r="H40" s="2">
        <v>48</v>
      </c>
      <c r="I40" s="2">
        <v>10</v>
      </c>
      <c r="J40" s="2">
        <v>2</v>
      </c>
      <c r="K40" s="2">
        <v>4</v>
      </c>
      <c r="L40" s="2">
        <v>2</v>
      </c>
      <c r="M40" s="4">
        <v>16</v>
      </c>
    </row>
    <row r="41" spans="1:13" x14ac:dyDescent="0.15">
      <c r="A41">
        <f>表紙!AK91</f>
        <v>227</v>
      </c>
      <c r="B41" t="s">
        <v>24</v>
      </c>
      <c r="C41">
        <v>38</v>
      </c>
      <c r="D41" t="s">
        <v>58</v>
      </c>
      <c r="E41" s="2">
        <v>6</v>
      </c>
      <c r="F41" s="2">
        <v>0.3</v>
      </c>
      <c r="G41" s="2">
        <v>60</v>
      </c>
      <c r="H41" s="2">
        <v>48</v>
      </c>
      <c r="I41" s="2">
        <v>10</v>
      </c>
      <c r="J41" s="2">
        <v>2</v>
      </c>
      <c r="K41" s="2">
        <v>4</v>
      </c>
      <c r="L41" s="2">
        <v>2</v>
      </c>
      <c r="M41" s="4">
        <v>20</v>
      </c>
    </row>
    <row r="42" spans="1:13" x14ac:dyDescent="0.15">
      <c r="A42">
        <f>表紙!AK92</f>
        <v>228</v>
      </c>
      <c r="B42" t="s">
        <v>24</v>
      </c>
      <c r="C42">
        <v>39</v>
      </c>
      <c r="D42" t="s">
        <v>57</v>
      </c>
      <c r="E42" s="2">
        <v>6</v>
      </c>
      <c r="F42" s="2">
        <v>0.3</v>
      </c>
      <c r="G42" s="2">
        <v>60</v>
      </c>
      <c r="H42" s="2">
        <v>48</v>
      </c>
      <c r="I42" s="2">
        <v>10</v>
      </c>
      <c r="J42" s="2">
        <v>2</v>
      </c>
      <c r="K42" s="2">
        <v>4</v>
      </c>
      <c r="L42" s="2">
        <v>2</v>
      </c>
      <c r="M42" s="4">
        <v>20</v>
      </c>
    </row>
    <row r="43" spans="1:13" x14ac:dyDescent="0.15">
      <c r="A43">
        <f>表紙!AK93</f>
        <v>229</v>
      </c>
      <c r="B43" t="s">
        <v>24</v>
      </c>
      <c r="C43">
        <v>40</v>
      </c>
      <c r="D43" t="s">
        <v>69</v>
      </c>
      <c r="E43" s="2">
        <v>6</v>
      </c>
      <c r="F43" s="2">
        <v>0.3</v>
      </c>
      <c r="G43" s="2">
        <v>60</v>
      </c>
      <c r="H43" s="2">
        <v>48</v>
      </c>
      <c r="I43" s="2">
        <v>10</v>
      </c>
      <c r="J43" s="2">
        <v>2</v>
      </c>
      <c r="K43" s="2">
        <v>4</v>
      </c>
      <c r="L43" s="2">
        <v>2</v>
      </c>
      <c r="M43" s="4">
        <v>20</v>
      </c>
    </row>
    <row r="44" spans="1:13" x14ac:dyDescent="0.15">
      <c r="A44">
        <f>表紙!AK94</f>
        <v>230</v>
      </c>
      <c r="B44" t="s">
        <v>24</v>
      </c>
      <c r="C44">
        <v>41</v>
      </c>
      <c r="D44" t="s">
        <v>65</v>
      </c>
      <c r="E44" s="2">
        <v>6</v>
      </c>
      <c r="F44" s="2">
        <v>0.3</v>
      </c>
      <c r="G44" s="2">
        <v>60</v>
      </c>
      <c r="H44" s="2">
        <v>48</v>
      </c>
      <c r="I44" s="2">
        <v>10</v>
      </c>
      <c r="J44" s="2">
        <v>2</v>
      </c>
      <c r="K44" s="2">
        <v>4</v>
      </c>
      <c r="L44" s="2">
        <v>2</v>
      </c>
      <c r="M44" s="4">
        <v>20</v>
      </c>
    </row>
    <row r="45" spans="1:13" x14ac:dyDescent="0.15">
      <c r="A45">
        <f>表紙!AK95</f>
        <v>231</v>
      </c>
      <c r="B45" t="s">
        <v>24</v>
      </c>
      <c r="C45">
        <v>42</v>
      </c>
      <c r="D45" t="s">
        <v>64</v>
      </c>
      <c r="E45" s="2">
        <v>6.5</v>
      </c>
      <c r="F45" s="2">
        <v>0.1</v>
      </c>
      <c r="G45" s="2">
        <v>80</v>
      </c>
      <c r="H45" s="2">
        <v>62</v>
      </c>
      <c r="I45" s="2">
        <v>15</v>
      </c>
      <c r="J45" s="2">
        <v>3</v>
      </c>
      <c r="K45" s="2">
        <v>4</v>
      </c>
      <c r="L45" s="2">
        <v>2</v>
      </c>
      <c r="M45" s="4">
        <v>20</v>
      </c>
    </row>
    <row r="46" spans="1:13" x14ac:dyDescent="0.15">
      <c r="A46">
        <f>表紙!AK96</f>
        <v>232</v>
      </c>
      <c r="B46" t="s">
        <v>24</v>
      </c>
      <c r="C46">
        <v>43</v>
      </c>
      <c r="D46" t="s">
        <v>62</v>
      </c>
      <c r="E46" s="2">
        <v>6</v>
      </c>
      <c r="F46" s="2">
        <v>0.1</v>
      </c>
      <c r="G46" s="2">
        <v>60</v>
      </c>
      <c r="H46" s="2">
        <v>48</v>
      </c>
      <c r="I46" s="2">
        <v>10</v>
      </c>
      <c r="J46" s="2">
        <v>2</v>
      </c>
      <c r="K46" s="2">
        <v>4</v>
      </c>
      <c r="L46" s="2">
        <v>2</v>
      </c>
      <c r="M46" s="4">
        <v>16</v>
      </c>
    </row>
    <row r="47" spans="1:13" x14ac:dyDescent="0.15">
      <c r="A47">
        <f>表紙!AK97</f>
        <v>233</v>
      </c>
      <c r="B47" t="s">
        <v>24</v>
      </c>
      <c r="C47">
        <v>44</v>
      </c>
      <c r="D47" t="s">
        <v>63</v>
      </c>
      <c r="E47" s="2">
        <v>6</v>
      </c>
      <c r="F47" s="2">
        <v>0.3</v>
      </c>
      <c r="G47" s="2">
        <v>60</v>
      </c>
      <c r="H47" s="2">
        <v>48</v>
      </c>
      <c r="I47" s="2">
        <v>10</v>
      </c>
      <c r="J47" s="2">
        <v>2</v>
      </c>
      <c r="K47" s="2">
        <v>4</v>
      </c>
      <c r="L47" s="2">
        <v>2</v>
      </c>
      <c r="M47" s="4">
        <v>20</v>
      </c>
    </row>
    <row r="48" spans="1:13" x14ac:dyDescent="0.15">
      <c r="A48">
        <f>表紙!AK98</f>
        <v>234</v>
      </c>
      <c r="B48" t="s">
        <v>24</v>
      </c>
      <c r="C48">
        <v>45</v>
      </c>
      <c r="D48" t="s">
        <v>72</v>
      </c>
      <c r="E48" s="2">
        <v>6</v>
      </c>
      <c r="F48" s="2">
        <v>0.3</v>
      </c>
      <c r="G48" s="2">
        <v>60</v>
      </c>
      <c r="H48" s="2">
        <v>48</v>
      </c>
      <c r="I48" s="2">
        <v>10</v>
      </c>
      <c r="J48" s="2">
        <v>2</v>
      </c>
      <c r="K48" s="2">
        <v>4</v>
      </c>
      <c r="L48" s="2">
        <v>2</v>
      </c>
      <c r="M48" s="4">
        <v>20</v>
      </c>
    </row>
    <row r="49" spans="1:13" x14ac:dyDescent="0.15">
      <c r="A49">
        <f>表紙!AK99</f>
        <v>235</v>
      </c>
      <c r="B49" t="s">
        <v>24</v>
      </c>
      <c r="C49">
        <v>46</v>
      </c>
      <c r="D49" t="s">
        <v>71</v>
      </c>
      <c r="E49" s="2">
        <v>6</v>
      </c>
      <c r="F49" s="2">
        <v>0.3</v>
      </c>
      <c r="G49" s="2">
        <v>60</v>
      </c>
      <c r="H49" s="2">
        <v>48</v>
      </c>
      <c r="I49" s="2">
        <v>10</v>
      </c>
      <c r="J49" s="2">
        <v>2</v>
      </c>
      <c r="K49" s="2">
        <v>4</v>
      </c>
      <c r="L49" s="2">
        <v>2</v>
      </c>
      <c r="M49" s="4">
        <v>20</v>
      </c>
    </row>
    <row r="50" spans="1:13" x14ac:dyDescent="0.15">
      <c r="A50">
        <f>表紙!AK100</f>
        <v>236</v>
      </c>
      <c r="B50" t="s">
        <v>24</v>
      </c>
      <c r="C50">
        <v>47</v>
      </c>
      <c r="D50" t="s">
        <v>37</v>
      </c>
      <c r="E50" s="2">
        <v>6</v>
      </c>
      <c r="F50" s="2">
        <v>0.3</v>
      </c>
      <c r="G50" s="2">
        <v>60</v>
      </c>
      <c r="H50" s="2">
        <v>48</v>
      </c>
      <c r="I50" s="2">
        <v>10</v>
      </c>
      <c r="J50" s="2">
        <v>2</v>
      </c>
      <c r="K50" s="2">
        <v>4</v>
      </c>
      <c r="L50" s="2">
        <v>2</v>
      </c>
      <c r="M50" s="4">
        <v>20</v>
      </c>
    </row>
    <row r="51" spans="1:13" x14ac:dyDescent="0.15">
      <c r="A51">
        <f>表紙!AK101</f>
        <v>237</v>
      </c>
      <c r="B51" t="s">
        <v>24</v>
      </c>
      <c r="C51">
        <v>48</v>
      </c>
      <c r="D51" t="s">
        <v>56</v>
      </c>
      <c r="E51" s="2">
        <v>6</v>
      </c>
      <c r="F51" s="2">
        <v>0.3</v>
      </c>
      <c r="G51" s="2">
        <v>60</v>
      </c>
      <c r="H51" s="2">
        <v>48</v>
      </c>
      <c r="I51" s="2">
        <v>10</v>
      </c>
      <c r="J51" s="2">
        <v>2</v>
      </c>
      <c r="K51" s="2">
        <v>4</v>
      </c>
      <c r="L51" s="2">
        <v>2</v>
      </c>
      <c r="M51" s="4">
        <v>20</v>
      </c>
    </row>
    <row r="52" spans="1:13" x14ac:dyDescent="0.15">
      <c r="B52" t="s">
        <v>24</v>
      </c>
      <c r="C52" t="s">
        <v>314</v>
      </c>
      <c r="D52" t="s">
        <v>59</v>
      </c>
      <c r="E52" s="2">
        <v>6</v>
      </c>
      <c r="F52" s="2">
        <v>0.3</v>
      </c>
      <c r="G52" s="2">
        <v>60</v>
      </c>
      <c r="H52" s="2">
        <v>48</v>
      </c>
      <c r="I52" s="2">
        <v>10</v>
      </c>
      <c r="J52" s="2">
        <v>2</v>
      </c>
      <c r="K52" s="2">
        <v>4</v>
      </c>
      <c r="L52" s="2">
        <v>2</v>
      </c>
      <c r="M52" s="4">
        <v>20</v>
      </c>
    </row>
    <row r="53" spans="1:13" x14ac:dyDescent="0.15">
      <c r="B53" t="s">
        <v>24</v>
      </c>
      <c r="C53" t="s">
        <v>314</v>
      </c>
      <c r="D53" t="s">
        <v>60</v>
      </c>
      <c r="E53" s="2">
        <v>6</v>
      </c>
      <c r="F53" s="2">
        <v>0.3</v>
      </c>
      <c r="G53" s="2">
        <v>60</v>
      </c>
      <c r="H53" s="2">
        <v>48</v>
      </c>
      <c r="I53" s="2">
        <v>10</v>
      </c>
      <c r="J53" s="2">
        <v>2</v>
      </c>
      <c r="K53" s="2">
        <v>4</v>
      </c>
      <c r="L53" s="2">
        <v>2</v>
      </c>
      <c r="M53" s="4">
        <v>20</v>
      </c>
    </row>
    <row r="54" spans="1:13" x14ac:dyDescent="0.15">
      <c r="B54" t="s">
        <v>24</v>
      </c>
      <c r="C54" t="s">
        <v>314</v>
      </c>
      <c r="D54" t="s">
        <v>61</v>
      </c>
      <c r="E54" s="2">
        <v>5.5</v>
      </c>
      <c r="F54" s="2">
        <v>0.1</v>
      </c>
      <c r="G54" s="2">
        <v>40</v>
      </c>
      <c r="H54" s="2">
        <v>31</v>
      </c>
      <c r="I54" s="2">
        <v>7</v>
      </c>
      <c r="J54" s="2">
        <v>2</v>
      </c>
      <c r="K54" s="2">
        <v>4</v>
      </c>
      <c r="L54" s="2">
        <v>2</v>
      </c>
      <c r="M54" s="4">
        <v>20</v>
      </c>
    </row>
    <row r="55" spans="1:13" x14ac:dyDescent="0.15">
      <c r="B55" t="s">
        <v>24</v>
      </c>
      <c r="C55" t="s">
        <v>314</v>
      </c>
      <c r="D55" t="s">
        <v>67</v>
      </c>
      <c r="E55" s="2">
        <v>6</v>
      </c>
      <c r="F55" s="2">
        <v>0.3</v>
      </c>
      <c r="G55" s="2">
        <v>60</v>
      </c>
      <c r="H55" s="2">
        <v>48</v>
      </c>
      <c r="I55" s="2">
        <v>10</v>
      </c>
      <c r="J55" s="2">
        <v>2</v>
      </c>
      <c r="K55" s="2">
        <v>4</v>
      </c>
      <c r="L55" s="2">
        <v>2</v>
      </c>
      <c r="M55" s="4">
        <v>20</v>
      </c>
    </row>
    <row r="56" spans="1:13" x14ac:dyDescent="0.15">
      <c r="B56" t="s">
        <v>24</v>
      </c>
      <c r="C56" t="s">
        <v>314</v>
      </c>
      <c r="D56" t="s">
        <v>68</v>
      </c>
      <c r="E56" s="2">
        <v>6</v>
      </c>
      <c r="F56" s="2">
        <v>0.3</v>
      </c>
      <c r="G56" s="2">
        <v>60</v>
      </c>
      <c r="H56" s="2">
        <v>48</v>
      </c>
      <c r="I56" s="2">
        <v>10</v>
      </c>
      <c r="J56" s="2">
        <v>2</v>
      </c>
      <c r="K56" s="2">
        <v>4</v>
      </c>
      <c r="L56" s="2">
        <v>2</v>
      </c>
      <c r="M56" s="4">
        <v>20</v>
      </c>
    </row>
    <row r="57" spans="1:13" x14ac:dyDescent="0.15">
      <c r="B57" t="s">
        <v>24</v>
      </c>
      <c r="C57" t="s">
        <v>314</v>
      </c>
      <c r="D57" t="s">
        <v>70</v>
      </c>
      <c r="E57" s="2">
        <v>5.5</v>
      </c>
      <c r="F57" s="2">
        <v>0.1</v>
      </c>
      <c r="G57" s="2">
        <v>40</v>
      </c>
      <c r="H57" s="2">
        <v>31</v>
      </c>
      <c r="I57" s="2">
        <v>7</v>
      </c>
      <c r="J57" s="2">
        <v>2</v>
      </c>
      <c r="K57" s="2">
        <v>4</v>
      </c>
      <c r="L57" s="2">
        <v>2</v>
      </c>
      <c r="M57" s="4">
        <v>20</v>
      </c>
    </row>
    <row r="58" spans="1:13" x14ac:dyDescent="0.15">
      <c r="B58" t="s">
        <v>24</v>
      </c>
      <c r="C58" t="s">
        <v>314</v>
      </c>
      <c r="D58" t="s">
        <v>73</v>
      </c>
      <c r="E58" s="2">
        <v>6</v>
      </c>
      <c r="F58" s="2">
        <v>0.3</v>
      </c>
      <c r="G58" s="2">
        <v>60</v>
      </c>
      <c r="H58" s="2">
        <v>48</v>
      </c>
      <c r="I58" s="2">
        <v>10</v>
      </c>
      <c r="J58" s="2">
        <v>2</v>
      </c>
      <c r="K58" s="2">
        <v>4</v>
      </c>
      <c r="L58" s="2">
        <v>2</v>
      </c>
      <c r="M58" s="4">
        <v>20</v>
      </c>
    </row>
    <row r="59" spans="1:13" x14ac:dyDescent="0.15">
      <c r="B59" t="s">
        <v>24</v>
      </c>
      <c r="C59" t="s">
        <v>314</v>
      </c>
      <c r="D59" t="s">
        <v>74</v>
      </c>
      <c r="E59" s="2">
        <v>6</v>
      </c>
      <c r="F59" s="2">
        <v>0.3</v>
      </c>
      <c r="G59" s="2">
        <v>60</v>
      </c>
      <c r="H59" s="2">
        <v>48</v>
      </c>
      <c r="I59" s="2">
        <v>10</v>
      </c>
      <c r="J59" s="2">
        <v>2</v>
      </c>
      <c r="K59" s="2">
        <v>4</v>
      </c>
      <c r="L59" s="2">
        <v>2</v>
      </c>
      <c r="M59" s="4">
        <v>20</v>
      </c>
    </row>
    <row r="60" spans="1:13" x14ac:dyDescent="0.15">
      <c r="B60" t="s">
        <v>24</v>
      </c>
      <c r="C60" t="s">
        <v>314</v>
      </c>
      <c r="D60" t="s">
        <v>46</v>
      </c>
      <c r="E60" s="2">
        <v>5.5</v>
      </c>
      <c r="F60" s="2">
        <v>0.1</v>
      </c>
      <c r="G60" s="2">
        <v>40</v>
      </c>
      <c r="H60" s="2">
        <v>31</v>
      </c>
      <c r="I60" s="2">
        <v>7</v>
      </c>
      <c r="J60" s="2">
        <v>2</v>
      </c>
      <c r="K60" s="2">
        <v>4</v>
      </c>
      <c r="L60" s="2">
        <v>2</v>
      </c>
      <c r="M60" s="4">
        <v>16</v>
      </c>
    </row>
    <row r="61" spans="1:13" x14ac:dyDescent="0.15">
      <c r="A61">
        <f>表紙!AK102</f>
        <v>238</v>
      </c>
      <c r="B61" t="s">
        <v>24</v>
      </c>
      <c r="C61">
        <v>49</v>
      </c>
      <c r="D61" t="s">
        <v>75</v>
      </c>
      <c r="E61" s="2">
        <v>6</v>
      </c>
      <c r="F61" s="2">
        <v>0.3</v>
      </c>
      <c r="G61" s="2">
        <v>60</v>
      </c>
      <c r="H61" s="2">
        <v>48</v>
      </c>
      <c r="I61" s="2">
        <v>10</v>
      </c>
      <c r="J61" s="2">
        <v>2</v>
      </c>
      <c r="K61" s="2">
        <v>4</v>
      </c>
      <c r="L61" s="2">
        <v>2</v>
      </c>
      <c r="M61" s="4">
        <v>20</v>
      </c>
    </row>
    <row r="62" spans="1:13" x14ac:dyDescent="0.15">
      <c r="A62">
        <f>表紙!AK103</f>
        <v>301</v>
      </c>
      <c r="B62" t="s">
        <v>104</v>
      </c>
      <c r="C62">
        <v>50</v>
      </c>
      <c r="D62" t="s">
        <v>82</v>
      </c>
      <c r="E62" s="2">
        <v>5.3</v>
      </c>
      <c r="F62" s="2">
        <v>0.3</v>
      </c>
      <c r="G62" s="2">
        <v>50</v>
      </c>
      <c r="H62" s="2">
        <v>40</v>
      </c>
      <c r="I62" s="2">
        <v>7.5</v>
      </c>
      <c r="J62" s="2">
        <v>2.5</v>
      </c>
      <c r="K62" s="2">
        <v>4</v>
      </c>
      <c r="L62" s="2">
        <v>2</v>
      </c>
      <c r="M62" s="4">
        <v>20</v>
      </c>
    </row>
    <row r="63" spans="1:13" x14ac:dyDescent="0.15">
      <c r="A63">
        <f>表紙!AK104</f>
        <v>302</v>
      </c>
      <c r="B63" t="s">
        <v>104</v>
      </c>
      <c r="C63">
        <v>51</v>
      </c>
      <c r="D63" t="s">
        <v>83</v>
      </c>
      <c r="E63" s="2">
        <v>6</v>
      </c>
      <c r="F63" s="2">
        <v>0.3</v>
      </c>
      <c r="G63" s="2">
        <v>60</v>
      </c>
      <c r="H63" s="2">
        <v>48</v>
      </c>
      <c r="I63" s="2">
        <v>10</v>
      </c>
      <c r="J63" s="2">
        <v>2</v>
      </c>
      <c r="K63" s="2">
        <v>4</v>
      </c>
      <c r="L63" s="2">
        <v>2</v>
      </c>
      <c r="M63" s="4">
        <v>20</v>
      </c>
    </row>
    <row r="64" spans="1:13" x14ac:dyDescent="0.15">
      <c r="A64">
        <f>表紙!AK105</f>
        <v>303</v>
      </c>
      <c r="B64" t="s">
        <v>104</v>
      </c>
      <c r="C64">
        <v>52</v>
      </c>
      <c r="D64" t="s">
        <v>84</v>
      </c>
      <c r="E64" s="2">
        <v>6</v>
      </c>
      <c r="F64" s="2">
        <v>0.3</v>
      </c>
      <c r="G64" s="2">
        <v>60</v>
      </c>
      <c r="H64" s="2">
        <v>48</v>
      </c>
      <c r="I64" s="2">
        <v>10</v>
      </c>
      <c r="J64" s="2">
        <v>2</v>
      </c>
      <c r="K64" s="2">
        <v>4</v>
      </c>
      <c r="L64" s="2">
        <v>2</v>
      </c>
      <c r="M64" s="4">
        <v>20</v>
      </c>
    </row>
    <row r="65" spans="1:13" x14ac:dyDescent="0.15">
      <c r="A65">
        <f>表紙!AK106</f>
        <v>304</v>
      </c>
      <c r="B65" t="s">
        <v>104</v>
      </c>
      <c r="C65">
        <v>53</v>
      </c>
      <c r="D65" t="s">
        <v>85</v>
      </c>
      <c r="E65" s="2">
        <v>6</v>
      </c>
      <c r="F65" s="2">
        <v>0.3</v>
      </c>
      <c r="G65" s="2">
        <v>60</v>
      </c>
      <c r="H65" s="2">
        <v>48</v>
      </c>
      <c r="I65" s="2">
        <v>10</v>
      </c>
      <c r="J65" s="2">
        <v>2</v>
      </c>
      <c r="K65" s="2">
        <v>4</v>
      </c>
      <c r="L65" s="2">
        <v>2</v>
      </c>
      <c r="M65" s="4">
        <v>20</v>
      </c>
    </row>
    <row r="66" spans="1:13" x14ac:dyDescent="0.15">
      <c r="A66">
        <f>表紙!AK107</f>
        <v>305</v>
      </c>
      <c r="B66" t="s">
        <v>104</v>
      </c>
      <c r="C66">
        <v>54</v>
      </c>
      <c r="D66" t="s">
        <v>86</v>
      </c>
      <c r="E66" s="2">
        <v>6.5</v>
      </c>
      <c r="F66" s="2">
        <v>0.1</v>
      </c>
      <c r="G66" s="2">
        <v>80</v>
      </c>
      <c r="H66" s="2">
        <v>62</v>
      </c>
      <c r="I66" s="2">
        <v>15</v>
      </c>
      <c r="J66" s="2">
        <v>3</v>
      </c>
      <c r="K66" s="2">
        <v>4</v>
      </c>
      <c r="L66" s="2">
        <v>2</v>
      </c>
      <c r="M66" s="4">
        <v>20</v>
      </c>
    </row>
    <row r="67" spans="1:13" x14ac:dyDescent="0.15">
      <c r="A67">
        <f>表紙!AK108</f>
        <v>306</v>
      </c>
      <c r="B67" t="s">
        <v>104</v>
      </c>
      <c r="C67">
        <v>55</v>
      </c>
      <c r="D67" t="s">
        <v>87</v>
      </c>
      <c r="E67" s="2">
        <v>6</v>
      </c>
      <c r="F67" s="2">
        <v>0.3</v>
      </c>
      <c r="G67" s="2">
        <v>60</v>
      </c>
      <c r="H67" s="2">
        <v>48</v>
      </c>
      <c r="I67" s="2">
        <v>10</v>
      </c>
      <c r="J67" s="2">
        <v>2</v>
      </c>
      <c r="K67" s="2">
        <v>4</v>
      </c>
      <c r="L67" s="2">
        <v>2</v>
      </c>
      <c r="M67" s="4">
        <v>20</v>
      </c>
    </row>
    <row r="68" spans="1:13" x14ac:dyDescent="0.15">
      <c r="A68">
        <f>表紙!AK109</f>
        <v>307</v>
      </c>
      <c r="B68" t="s">
        <v>104</v>
      </c>
      <c r="C68">
        <v>56</v>
      </c>
      <c r="D68" t="s">
        <v>95</v>
      </c>
      <c r="E68" s="2">
        <v>6</v>
      </c>
      <c r="F68" s="2">
        <v>0.3</v>
      </c>
      <c r="G68" s="2">
        <v>60</v>
      </c>
      <c r="H68" s="2">
        <v>48</v>
      </c>
      <c r="I68" s="2">
        <v>10</v>
      </c>
      <c r="J68" s="2">
        <v>2</v>
      </c>
      <c r="K68" s="2">
        <v>4</v>
      </c>
      <c r="L68" s="2">
        <v>2</v>
      </c>
      <c r="M68" s="4">
        <v>20</v>
      </c>
    </row>
    <row r="69" spans="1:13" x14ac:dyDescent="0.15">
      <c r="A69">
        <f>表紙!AK110</f>
        <v>308</v>
      </c>
      <c r="B69" t="s">
        <v>104</v>
      </c>
      <c r="C69">
        <v>57</v>
      </c>
      <c r="D69" t="s">
        <v>89</v>
      </c>
      <c r="E69" s="2">
        <v>6</v>
      </c>
      <c r="F69" s="2">
        <v>0.3</v>
      </c>
      <c r="G69" s="2">
        <v>60</v>
      </c>
      <c r="H69" s="2">
        <v>48</v>
      </c>
      <c r="I69" s="2">
        <v>10</v>
      </c>
      <c r="J69" s="2">
        <v>2</v>
      </c>
      <c r="K69" s="2">
        <v>4</v>
      </c>
      <c r="L69" s="2">
        <v>2</v>
      </c>
      <c r="M69" s="4">
        <v>20</v>
      </c>
    </row>
    <row r="70" spans="1:13" x14ac:dyDescent="0.15">
      <c r="A70">
        <f>表紙!AK111</f>
        <v>309</v>
      </c>
      <c r="B70" t="s">
        <v>104</v>
      </c>
      <c r="C70">
        <v>58</v>
      </c>
      <c r="D70" t="s">
        <v>94</v>
      </c>
      <c r="E70" s="2">
        <v>6</v>
      </c>
      <c r="F70" s="2">
        <v>0.3</v>
      </c>
      <c r="G70" s="2">
        <v>60</v>
      </c>
      <c r="H70" s="2">
        <v>48</v>
      </c>
      <c r="I70" s="2">
        <v>10</v>
      </c>
      <c r="J70" s="2">
        <v>2</v>
      </c>
      <c r="K70" s="2">
        <v>4</v>
      </c>
      <c r="L70" s="2">
        <v>2</v>
      </c>
      <c r="M70" s="4">
        <v>20</v>
      </c>
    </row>
    <row r="71" spans="1:13" x14ac:dyDescent="0.15">
      <c r="A71">
        <f>表紙!AK112</f>
        <v>310</v>
      </c>
      <c r="B71" t="s">
        <v>104</v>
      </c>
      <c r="C71">
        <v>59</v>
      </c>
      <c r="D71" t="s">
        <v>96</v>
      </c>
      <c r="E71" s="2">
        <v>6.5</v>
      </c>
      <c r="F71" s="2">
        <v>0.1</v>
      </c>
      <c r="G71" s="2">
        <v>80</v>
      </c>
      <c r="H71" s="2">
        <v>62</v>
      </c>
      <c r="I71" s="2">
        <v>15</v>
      </c>
      <c r="J71" s="2">
        <v>3</v>
      </c>
      <c r="K71" s="2">
        <v>4</v>
      </c>
      <c r="L71" s="2">
        <v>2</v>
      </c>
      <c r="M71" s="4">
        <v>20</v>
      </c>
    </row>
    <row r="72" spans="1:13" x14ac:dyDescent="0.15">
      <c r="A72">
        <f>表紙!AK113</f>
        <v>311</v>
      </c>
      <c r="B72" t="s">
        <v>104</v>
      </c>
      <c r="C72">
        <v>60</v>
      </c>
      <c r="D72" t="s">
        <v>98</v>
      </c>
      <c r="E72" s="2">
        <v>6</v>
      </c>
      <c r="F72" s="2">
        <v>0.3</v>
      </c>
      <c r="G72" s="2">
        <v>60</v>
      </c>
      <c r="H72" s="2">
        <v>48</v>
      </c>
      <c r="I72" s="2">
        <v>10</v>
      </c>
      <c r="J72" s="2">
        <v>2</v>
      </c>
      <c r="K72" s="2">
        <v>4</v>
      </c>
      <c r="L72" s="2">
        <v>2</v>
      </c>
      <c r="M72" s="4">
        <v>20</v>
      </c>
    </row>
    <row r="73" spans="1:13" x14ac:dyDescent="0.15">
      <c r="B73" t="s">
        <v>104</v>
      </c>
      <c r="C73" t="s">
        <v>314</v>
      </c>
      <c r="D73" t="s">
        <v>88</v>
      </c>
      <c r="E73" s="2">
        <v>6</v>
      </c>
      <c r="F73" s="2">
        <v>0.3</v>
      </c>
      <c r="G73" s="2">
        <v>60</v>
      </c>
      <c r="H73" s="2">
        <v>48</v>
      </c>
      <c r="I73" s="2">
        <v>10</v>
      </c>
      <c r="J73" s="2">
        <v>2</v>
      </c>
      <c r="K73" s="2">
        <v>4</v>
      </c>
      <c r="L73" s="2">
        <v>2</v>
      </c>
      <c r="M73" s="4">
        <v>20</v>
      </c>
    </row>
    <row r="74" spans="1:13" x14ac:dyDescent="0.15">
      <c r="B74" t="s">
        <v>104</v>
      </c>
      <c r="C74" t="s">
        <v>314</v>
      </c>
      <c r="D74" t="s">
        <v>90</v>
      </c>
      <c r="E74" s="2">
        <v>6</v>
      </c>
      <c r="F74" s="2">
        <v>0.3</v>
      </c>
      <c r="G74" s="2">
        <v>60</v>
      </c>
      <c r="H74" s="2">
        <v>48</v>
      </c>
      <c r="I74" s="2">
        <v>10</v>
      </c>
      <c r="J74" s="2">
        <v>2</v>
      </c>
      <c r="K74" s="2">
        <v>4</v>
      </c>
      <c r="L74" s="2">
        <v>2</v>
      </c>
      <c r="M74" s="4">
        <v>20</v>
      </c>
    </row>
    <row r="75" spans="1:13" x14ac:dyDescent="0.15">
      <c r="B75" t="s">
        <v>104</v>
      </c>
      <c r="C75" t="s">
        <v>314</v>
      </c>
      <c r="D75" t="s">
        <v>91</v>
      </c>
      <c r="E75" s="2">
        <v>6.5</v>
      </c>
      <c r="F75" s="2">
        <v>0.1</v>
      </c>
      <c r="G75" s="2">
        <v>80</v>
      </c>
      <c r="H75" s="2">
        <v>62</v>
      </c>
      <c r="I75" s="2">
        <v>15</v>
      </c>
      <c r="J75" s="2">
        <v>3</v>
      </c>
      <c r="K75" s="2">
        <v>4</v>
      </c>
      <c r="L75" s="2">
        <v>2</v>
      </c>
      <c r="M75" s="4">
        <v>20</v>
      </c>
    </row>
    <row r="76" spans="1:13" x14ac:dyDescent="0.15">
      <c r="B76" t="s">
        <v>104</v>
      </c>
      <c r="C76" t="s">
        <v>314</v>
      </c>
      <c r="D76" t="s">
        <v>92</v>
      </c>
      <c r="E76" s="2">
        <v>6.5</v>
      </c>
      <c r="F76" s="2">
        <v>0.1</v>
      </c>
      <c r="G76" s="2">
        <v>80</v>
      </c>
      <c r="H76" s="2">
        <v>62</v>
      </c>
      <c r="I76" s="2">
        <v>15</v>
      </c>
      <c r="J76" s="2">
        <v>3</v>
      </c>
      <c r="K76" s="2">
        <v>4</v>
      </c>
      <c r="L76" s="2">
        <v>2</v>
      </c>
      <c r="M76" s="4">
        <v>20</v>
      </c>
    </row>
    <row r="77" spans="1:13" x14ac:dyDescent="0.15">
      <c r="B77" t="s">
        <v>104</v>
      </c>
      <c r="C77" t="s">
        <v>314</v>
      </c>
      <c r="D77" t="s">
        <v>93</v>
      </c>
      <c r="E77" s="2">
        <v>6.5</v>
      </c>
      <c r="F77" s="2">
        <v>0.1</v>
      </c>
      <c r="G77" s="2">
        <v>80</v>
      </c>
      <c r="H77" s="2">
        <v>62</v>
      </c>
      <c r="I77" s="2">
        <v>15</v>
      </c>
      <c r="J77" s="2">
        <v>3</v>
      </c>
      <c r="K77" s="2">
        <v>4</v>
      </c>
      <c r="L77" s="2">
        <v>2</v>
      </c>
      <c r="M77" s="4">
        <v>20</v>
      </c>
    </row>
    <row r="78" spans="1:13" x14ac:dyDescent="0.15">
      <c r="B78" t="s">
        <v>104</v>
      </c>
      <c r="C78" t="s">
        <v>314</v>
      </c>
      <c r="D78" t="s">
        <v>97</v>
      </c>
      <c r="E78" s="2">
        <v>6</v>
      </c>
      <c r="F78" s="2">
        <v>0.3</v>
      </c>
      <c r="G78" s="2">
        <v>60</v>
      </c>
      <c r="H78" s="2">
        <v>48</v>
      </c>
      <c r="I78" s="2">
        <v>10</v>
      </c>
      <c r="J78" s="2">
        <v>2</v>
      </c>
      <c r="K78" s="2">
        <v>4</v>
      </c>
      <c r="L78" s="2">
        <v>2</v>
      </c>
      <c r="M78" s="4">
        <v>20</v>
      </c>
    </row>
    <row r="79" spans="1:13" x14ac:dyDescent="0.15">
      <c r="B79" t="s">
        <v>104</v>
      </c>
      <c r="C79" t="s">
        <v>314</v>
      </c>
      <c r="D79" t="s">
        <v>99</v>
      </c>
      <c r="E79" s="2">
        <v>6</v>
      </c>
      <c r="F79" s="2">
        <v>0.3</v>
      </c>
      <c r="G79" s="2">
        <v>60</v>
      </c>
      <c r="H79" s="2">
        <v>48</v>
      </c>
      <c r="I79" s="2">
        <v>10</v>
      </c>
      <c r="J79" s="2">
        <v>2</v>
      </c>
      <c r="K79" s="2">
        <v>4</v>
      </c>
      <c r="L79" s="2">
        <v>2</v>
      </c>
      <c r="M79" s="4">
        <v>20</v>
      </c>
    </row>
    <row r="80" spans="1:13" x14ac:dyDescent="0.15">
      <c r="B80" t="s">
        <v>104</v>
      </c>
      <c r="C80" t="s">
        <v>314</v>
      </c>
      <c r="D80" t="s">
        <v>100</v>
      </c>
      <c r="E80" s="2">
        <v>6</v>
      </c>
      <c r="F80" s="2">
        <v>0.3</v>
      </c>
      <c r="G80" s="2">
        <v>60</v>
      </c>
      <c r="H80" s="2">
        <v>48</v>
      </c>
      <c r="I80" s="2">
        <v>10</v>
      </c>
      <c r="J80" s="2">
        <v>2</v>
      </c>
      <c r="K80" s="2">
        <v>4</v>
      </c>
      <c r="L80" s="2">
        <v>2</v>
      </c>
      <c r="M80" s="4">
        <v>20</v>
      </c>
    </row>
    <row r="81" spans="1:13" x14ac:dyDescent="0.15">
      <c r="A81">
        <f>表紙!AK114</f>
        <v>401</v>
      </c>
      <c r="B81" t="s">
        <v>103</v>
      </c>
      <c r="C81">
        <v>63</v>
      </c>
      <c r="D81" t="s">
        <v>76</v>
      </c>
      <c r="E81" s="2">
        <v>5.5</v>
      </c>
      <c r="F81" s="2">
        <v>0.1</v>
      </c>
      <c r="G81" s="2">
        <v>40</v>
      </c>
      <c r="H81" s="2">
        <v>31</v>
      </c>
      <c r="I81" s="2">
        <v>7</v>
      </c>
      <c r="J81" s="2">
        <v>2</v>
      </c>
      <c r="K81" s="2">
        <v>4</v>
      </c>
      <c r="L81" s="2">
        <v>2</v>
      </c>
      <c r="M81" s="4">
        <v>10</v>
      </c>
    </row>
    <row r="82" spans="1:13" x14ac:dyDescent="0.15">
      <c r="A82">
        <f>表紙!AK115</f>
        <v>402</v>
      </c>
      <c r="B82" t="s">
        <v>103</v>
      </c>
      <c r="C82">
        <v>64</v>
      </c>
      <c r="D82" t="s">
        <v>77</v>
      </c>
      <c r="E82" s="2">
        <v>6</v>
      </c>
      <c r="F82" s="2">
        <v>0.1</v>
      </c>
      <c r="G82" s="2">
        <v>60</v>
      </c>
      <c r="H82" s="2">
        <v>48</v>
      </c>
      <c r="I82" s="2">
        <v>10</v>
      </c>
      <c r="J82" s="2">
        <v>2</v>
      </c>
      <c r="K82" s="2">
        <v>4</v>
      </c>
      <c r="L82" s="2">
        <v>2</v>
      </c>
      <c r="M82" s="4">
        <v>10</v>
      </c>
    </row>
    <row r="83" spans="1:13" x14ac:dyDescent="0.15">
      <c r="A83">
        <f>表紙!AK116</f>
        <v>403</v>
      </c>
      <c r="B83" t="s">
        <v>103</v>
      </c>
      <c r="C83">
        <v>65</v>
      </c>
      <c r="D83" t="s">
        <v>215</v>
      </c>
      <c r="E83" s="2">
        <v>5.5</v>
      </c>
      <c r="F83" s="2">
        <v>0.1</v>
      </c>
      <c r="G83" s="2">
        <v>40</v>
      </c>
      <c r="H83" s="2">
        <v>31</v>
      </c>
      <c r="I83" s="2">
        <v>7</v>
      </c>
      <c r="J83" s="2">
        <v>2</v>
      </c>
      <c r="K83" s="2">
        <v>4</v>
      </c>
      <c r="L83" s="2">
        <v>2</v>
      </c>
      <c r="M83" s="4">
        <v>10</v>
      </c>
    </row>
    <row r="84" spans="1:13" x14ac:dyDescent="0.15">
      <c r="A84">
        <f>表紙!AK117</f>
        <v>404</v>
      </c>
      <c r="B84" t="s">
        <v>103</v>
      </c>
      <c r="C84">
        <v>66</v>
      </c>
      <c r="D84" t="s">
        <v>78</v>
      </c>
      <c r="E84" s="2">
        <v>5.5</v>
      </c>
      <c r="F84" s="2">
        <v>0.1</v>
      </c>
      <c r="G84" s="2">
        <v>40</v>
      </c>
      <c r="H84" s="2">
        <v>31</v>
      </c>
      <c r="I84" s="2">
        <v>7</v>
      </c>
      <c r="J84" s="2">
        <v>2</v>
      </c>
      <c r="K84" s="2">
        <v>4</v>
      </c>
      <c r="L84" s="2">
        <v>2</v>
      </c>
      <c r="M84" s="4">
        <v>10</v>
      </c>
    </row>
    <row r="85" spans="1:13" x14ac:dyDescent="0.15">
      <c r="A85">
        <f>表紙!AK118</f>
        <v>405</v>
      </c>
      <c r="B85" t="s">
        <v>103</v>
      </c>
      <c r="C85">
        <v>67</v>
      </c>
      <c r="D85" t="s">
        <v>79</v>
      </c>
      <c r="E85" s="2">
        <v>5.5</v>
      </c>
      <c r="F85" s="2">
        <v>0.1</v>
      </c>
      <c r="G85" s="2">
        <v>40</v>
      </c>
      <c r="H85" s="2">
        <v>31</v>
      </c>
      <c r="I85" s="2">
        <v>7</v>
      </c>
      <c r="J85" s="2">
        <v>2</v>
      </c>
      <c r="K85" s="2">
        <v>4</v>
      </c>
      <c r="L85" s="2">
        <v>2</v>
      </c>
      <c r="M85" s="4">
        <v>10</v>
      </c>
    </row>
    <row r="86" spans="1:13" x14ac:dyDescent="0.15">
      <c r="B86" t="s">
        <v>103</v>
      </c>
      <c r="C86" t="s">
        <v>314</v>
      </c>
      <c r="D86" t="s">
        <v>80</v>
      </c>
      <c r="E86" s="2">
        <v>5</v>
      </c>
      <c r="F86" s="2">
        <v>0.1</v>
      </c>
      <c r="G86" s="2">
        <v>30</v>
      </c>
      <c r="H86" s="2">
        <v>22</v>
      </c>
      <c r="I86" s="2">
        <v>6.2</v>
      </c>
      <c r="J86" s="2">
        <v>1.8</v>
      </c>
      <c r="K86" s="2">
        <v>4</v>
      </c>
      <c r="L86" s="2">
        <v>2</v>
      </c>
      <c r="M86" s="4">
        <v>10</v>
      </c>
    </row>
    <row r="87" spans="1:13" x14ac:dyDescent="0.15">
      <c r="A87">
        <f>表紙!AK119</f>
        <v>406</v>
      </c>
      <c r="B87" t="s">
        <v>103</v>
      </c>
      <c r="C87">
        <v>68</v>
      </c>
      <c r="D87" t="s">
        <v>81</v>
      </c>
      <c r="E87" s="2">
        <v>5.5</v>
      </c>
      <c r="F87" s="2">
        <v>0.1</v>
      </c>
      <c r="G87" s="2">
        <v>40</v>
      </c>
      <c r="H87" s="2">
        <v>31</v>
      </c>
      <c r="I87" s="2">
        <v>7</v>
      </c>
      <c r="J87" s="2">
        <v>2</v>
      </c>
      <c r="K87" s="2">
        <v>4</v>
      </c>
      <c r="L87" s="2">
        <v>2</v>
      </c>
      <c r="M87" s="4">
        <v>10</v>
      </c>
    </row>
    <row r="88" spans="1:13" x14ac:dyDescent="0.15">
      <c r="A88">
        <v>501</v>
      </c>
      <c r="B88" s="1" t="s">
        <v>637</v>
      </c>
      <c r="C88">
        <v>69</v>
      </c>
      <c r="D88" t="s">
        <v>552</v>
      </c>
      <c r="E88" s="2">
        <v>6</v>
      </c>
      <c r="F88" s="2">
        <v>0.2</v>
      </c>
      <c r="G88" s="2">
        <v>60</v>
      </c>
      <c r="H88" s="2">
        <v>48</v>
      </c>
      <c r="I88" s="2">
        <v>10</v>
      </c>
      <c r="J88" s="2">
        <v>2</v>
      </c>
      <c r="K88" s="2">
        <v>4</v>
      </c>
      <c r="L88" s="2">
        <v>2</v>
      </c>
      <c r="M88" s="4">
        <v>5</v>
      </c>
    </row>
    <row r="89" spans="1:13" x14ac:dyDescent="0.15">
      <c r="A89">
        <v>502</v>
      </c>
      <c r="B89" s="1" t="s">
        <v>637</v>
      </c>
      <c r="C89">
        <v>70</v>
      </c>
      <c r="D89" t="s">
        <v>559</v>
      </c>
      <c r="E89" s="2">
        <v>6</v>
      </c>
      <c r="F89" s="2">
        <v>0.2</v>
      </c>
      <c r="G89" s="2">
        <v>60</v>
      </c>
      <c r="H89" s="2">
        <v>48</v>
      </c>
      <c r="I89" s="2">
        <v>10</v>
      </c>
      <c r="J89" s="2">
        <v>2</v>
      </c>
      <c r="K89" s="2">
        <v>4</v>
      </c>
      <c r="L89" s="2">
        <v>2</v>
      </c>
      <c r="M89" s="4">
        <v>5</v>
      </c>
    </row>
    <row r="90" spans="1:13" x14ac:dyDescent="0.15">
      <c r="A90">
        <v>503</v>
      </c>
      <c r="B90" s="1" t="s">
        <v>637</v>
      </c>
      <c r="C90">
        <v>71</v>
      </c>
      <c r="D90" t="s">
        <v>560</v>
      </c>
      <c r="E90" s="2">
        <v>6</v>
      </c>
      <c r="F90" s="2">
        <v>0.2</v>
      </c>
      <c r="G90" s="2">
        <v>60</v>
      </c>
      <c r="H90" s="2">
        <v>48</v>
      </c>
      <c r="I90" s="2">
        <v>10</v>
      </c>
      <c r="J90" s="2">
        <v>2</v>
      </c>
      <c r="K90" s="2">
        <v>4</v>
      </c>
      <c r="L90" s="2">
        <v>2</v>
      </c>
      <c r="M90" s="4">
        <v>5</v>
      </c>
    </row>
    <row r="91" spans="1:13" x14ac:dyDescent="0.15">
      <c r="B91" s="1" t="s">
        <v>637</v>
      </c>
      <c r="D91" t="s">
        <v>101</v>
      </c>
      <c r="E91" s="2">
        <v>6</v>
      </c>
      <c r="F91" s="2">
        <v>0.2</v>
      </c>
      <c r="G91" s="2">
        <v>60</v>
      </c>
      <c r="H91" s="2">
        <v>48</v>
      </c>
      <c r="I91" s="2">
        <v>10</v>
      </c>
      <c r="J91" s="2">
        <v>2</v>
      </c>
      <c r="K91" s="2">
        <v>4</v>
      </c>
      <c r="L91" s="2">
        <v>2</v>
      </c>
      <c r="M91" s="4">
        <v>5</v>
      </c>
    </row>
    <row r="92" spans="1:13" x14ac:dyDescent="0.15">
      <c r="A92">
        <v>504</v>
      </c>
      <c r="B92" s="1" t="s">
        <v>637</v>
      </c>
      <c r="C92">
        <v>73</v>
      </c>
      <c r="D92" t="s">
        <v>102</v>
      </c>
      <c r="E92" s="2">
        <v>6</v>
      </c>
      <c r="F92" s="2">
        <v>0.1</v>
      </c>
      <c r="G92" s="2">
        <v>60</v>
      </c>
      <c r="H92" s="2">
        <v>48</v>
      </c>
      <c r="I92" s="2">
        <v>10</v>
      </c>
      <c r="J92" s="2">
        <v>2</v>
      </c>
      <c r="K92" s="2">
        <v>4</v>
      </c>
      <c r="L92" s="2">
        <v>2</v>
      </c>
      <c r="M92" s="4">
        <v>16</v>
      </c>
    </row>
    <row r="93" spans="1:13" x14ac:dyDescent="0.15">
      <c r="A93">
        <v>505</v>
      </c>
      <c r="B93" s="1" t="s">
        <v>637</v>
      </c>
      <c r="C93">
        <v>74</v>
      </c>
      <c r="D93" t="s">
        <v>562</v>
      </c>
      <c r="E93" s="2">
        <v>6</v>
      </c>
      <c r="F93" s="2">
        <v>0.1</v>
      </c>
      <c r="G93" s="2">
        <v>60</v>
      </c>
      <c r="H93" s="2">
        <v>48</v>
      </c>
      <c r="I93" s="2">
        <v>10</v>
      </c>
      <c r="J93" s="2">
        <v>2</v>
      </c>
      <c r="K93" s="2">
        <v>4</v>
      </c>
      <c r="L93" s="2">
        <v>2</v>
      </c>
      <c r="M93" s="4">
        <v>16</v>
      </c>
    </row>
    <row r="94" spans="1:13" x14ac:dyDescent="0.15">
      <c r="A94">
        <v>506</v>
      </c>
      <c r="B94" s="1" t="s">
        <v>637</v>
      </c>
      <c r="C94">
        <v>75</v>
      </c>
      <c r="D94" t="s">
        <v>574</v>
      </c>
      <c r="E94" s="2">
        <v>6</v>
      </c>
      <c r="F94" s="2">
        <v>0.2</v>
      </c>
      <c r="G94" s="2">
        <v>60</v>
      </c>
      <c r="H94" s="2">
        <v>48</v>
      </c>
      <c r="I94" s="2">
        <v>10</v>
      </c>
      <c r="J94" s="2">
        <v>2</v>
      </c>
      <c r="K94" s="2">
        <v>4</v>
      </c>
      <c r="L94" s="2">
        <v>2</v>
      </c>
      <c r="M94" s="4">
        <v>5</v>
      </c>
    </row>
  </sheetData>
  <sheetProtection password="DA91" sheet="1" objects="1" scenarios="1"/>
  <mergeCells count="10">
    <mergeCell ref="N2:N3"/>
    <mergeCell ref="A2:A3"/>
    <mergeCell ref="B2:B3"/>
    <mergeCell ref="M2:M3"/>
    <mergeCell ref="C2:C3"/>
    <mergeCell ref="D2:D3"/>
    <mergeCell ref="E2:E3"/>
    <mergeCell ref="F2:F3"/>
    <mergeCell ref="G2:J2"/>
    <mergeCell ref="K2:L2"/>
  </mergeCells>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83"/>
  <sheetViews>
    <sheetView workbookViewId="0">
      <selection activeCell="K14" sqref="K14"/>
    </sheetView>
  </sheetViews>
  <sheetFormatPr defaultRowHeight="13.5" x14ac:dyDescent="0.15"/>
  <cols>
    <col min="2" max="2" width="14.125" bestFit="1" customWidth="1"/>
    <col min="3" max="3" width="36.125" bestFit="1" customWidth="1"/>
    <col min="4" max="4" width="16.875" bestFit="1" customWidth="1"/>
    <col min="5" max="5" width="11" bestFit="1" customWidth="1"/>
    <col min="6" max="6" width="22.75" bestFit="1" customWidth="1"/>
    <col min="12" max="12" width="67.25" bestFit="1" customWidth="1"/>
  </cols>
  <sheetData>
    <row r="1" spans="1:12" x14ac:dyDescent="0.15">
      <c r="B1" t="s">
        <v>199</v>
      </c>
    </row>
    <row r="2" spans="1:12" x14ac:dyDescent="0.15">
      <c r="A2" s="237" t="s">
        <v>331</v>
      </c>
      <c r="B2" s="233" t="s">
        <v>106</v>
      </c>
      <c r="C2" s="233" t="s">
        <v>107</v>
      </c>
      <c r="D2" s="233" t="s">
        <v>108</v>
      </c>
      <c r="E2" s="233" t="s">
        <v>109</v>
      </c>
      <c r="F2" s="233"/>
      <c r="G2" s="233"/>
      <c r="H2" s="233"/>
      <c r="I2" s="233"/>
      <c r="J2" s="233"/>
      <c r="K2" s="233"/>
      <c r="L2" s="233" t="s">
        <v>12</v>
      </c>
    </row>
    <row r="3" spans="1:12" x14ac:dyDescent="0.15">
      <c r="A3" s="237"/>
      <c r="B3" s="233"/>
      <c r="C3" s="233"/>
      <c r="D3" s="233"/>
      <c r="E3" s="233" t="s">
        <v>110</v>
      </c>
      <c r="F3" s="233"/>
      <c r="G3" s="233"/>
      <c r="H3" s="233" t="s">
        <v>114</v>
      </c>
      <c r="I3" s="233" t="s">
        <v>8</v>
      </c>
      <c r="J3" s="233" t="s">
        <v>6</v>
      </c>
      <c r="K3" s="233" t="s">
        <v>7</v>
      </c>
      <c r="L3" s="233"/>
    </row>
    <row r="4" spans="1:12" x14ac:dyDescent="0.15">
      <c r="A4" s="237"/>
      <c r="B4" s="233"/>
      <c r="C4" s="233"/>
      <c r="D4" s="233"/>
      <c r="E4" s="1" t="s">
        <v>111</v>
      </c>
      <c r="F4" s="1" t="s">
        <v>112</v>
      </c>
      <c r="G4" s="1" t="s">
        <v>113</v>
      </c>
      <c r="H4" s="233"/>
      <c r="I4" s="233"/>
      <c r="J4" s="233"/>
      <c r="K4" s="233"/>
      <c r="L4" s="233"/>
    </row>
    <row r="5" spans="1:12" s="6" customFormat="1" x14ac:dyDescent="0.15">
      <c r="A5" s="12">
        <f>表紙!AP58</f>
        <v>10101</v>
      </c>
      <c r="B5" s="5" t="s">
        <v>22</v>
      </c>
      <c r="C5" s="5" t="s">
        <v>407</v>
      </c>
      <c r="D5" s="5" t="s">
        <v>229</v>
      </c>
      <c r="E5" s="5" t="s">
        <v>132</v>
      </c>
      <c r="F5" s="5" t="s">
        <v>231</v>
      </c>
      <c r="G5" s="5" t="s">
        <v>225</v>
      </c>
      <c r="H5" s="5">
        <v>2</v>
      </c>
      <c r="I5" s="5">
        <v>10</v>
      </c>
      <c r="J5" s="5">
        <v>11</v>
      </c>
      <c r="K5" s="5">
        <v>3</v>
      </c>
      <c r="L5" s="5"/>
    </row>
    <row r="6" spans="1:12" s="6" customFormat="1" x14ac:dyDescent="0.15">
      <c r="A6" s="12">
        <f>表紙!AP59</f>
        <v>10201</v>
      </c>
      <c r="B6" s="5" t="s">
        <v>16</v>
      </c>
      <c r="C6" s="5" t="s">
        <v>408</v>
      </c>
      <c r="D6" s="5" t="s">
        <v>229</v>
      </c>
      <c r="E6" s="5" t="s">
        <v>132</v>
      </c>
      <c r="F6" s="5" t="s">
        <v>232</v>
      </c>
      <c r="G6" s="5" t="s">
        <v>225</v>
      </c>
      <c r="H6" s="5">
        <v>2</v>
      </c>
      <c r="I6" s="5">
        <v>11</v>
      </c>
      <c r="J6" s="5">
        <v>7</v>
      </c>
      <c r="K6" s="5">
        <v>2</v>
      </c>
      <c r="L6" s="5"/>
    </row>
    <row r="7" spans="1:12" s="6" customFormat="1" x14ac:dyDescent="0.15">
      <c r="A7" s="12">
        <f>表紙!AP60</f>
        <v>10202</v>
      </c>
      <c r="B7" s="5" t="s">
        <v>16</v>
      </c>
      <c r="C7" s="5" t="s">
        <v>409</v>
      </c>
      <c r="D7" s="5" t="s">
        <v>229</v>
      </c>
      <c r="E7" s="5" t="s">
        <v>132</v>
      </c>
      <c r="F7" s="5" t="s">
        <v>232</v>
      </c>
      <c r="G7" s="5" t="s">
        <v>225</v>
      </c>
      <c r="H7" s="5">
        <v>2</v>
      </c>
      <c r="I7" s="5">
        <v>11</v>
      </c>
      <c r="J7" s="5">
        <v>7</v>
      </c>
      <c r="K7" s="5">
        <v>2</v>
      </c>
      <c r="L7" s="5"/>
    </row>
    <row r="8" spans="1:12" s="6" customFormat="1" x14ac:dyDescent="0.15">
      <c r="A8" s="12">
        <f>表紙!AP61</f>
        <v>10203</v>
      </c>
      <c r="B8" s="5" t="s">
        <v>16</v>
      </c>
      <c r="C8" s="5" t="s">
        <v>410</v>
      </c>
      <c r="D8" s="5" t="s">
        <v>229</v>
      </c>
      <c r="E8" s="5" t="s">
        <v>132</v>
      </c>
      <c r="F8" s="5" t="s">
        <v>230</v>
      </c>
      <c r="G8" s="5" t="s">
        <v>222</v>
      </c>
      <c r="H8" s="5">
        <v>2</v>
      </c>
      <c r="I8" s="5">
        <v>11</v>
      </c>
      <c r="J8" s="5">
        <v>8</v>
      </c>
      <c r="K8" s="5">
        <v>2</v>
      </c>
      <c r="L8" s="5"/>
    </row>
    <row r="9" spans="1:12" s="6" customFormat="1" x14ac:dyDescent="0.15">
      <c r="A9" s="12">
        <f>表紙!AP62</f>
        <v>10204</v>
      </c>
      <c r="B9" s="5" t="s">
        <v>16</v>
      </c>
      <c r="C9" s="5" t="s">
        <v>411</v>
      </c>
      <c r="D9" s="5" t="s">
        <v>229</v>
      </c>
      <c r="E9" s="5" t="s">
        <v>132</v>
      </c>
      <c r="F9" s="5" t="s">
        <v>233</v>
      </c>
      <c r="G9" s="5" t="s">
        <v>235</v>
      </c>
      <c r="H9" s="5">
        <v>2</v>
      </c>
      <c r="I9" s="5">
        <v>11</v>
      </c>
      <c r="J9" s="5">
        <v>8</v>
      </c>
      <c r="K9" s="5">
        <v>2</v>
      </c>
      <c r="L9" s="5"/>
    </row>
    <row r="10" spans="1:12" s="6" customFormat="1" x14ac:dyDescent="0.15">
      <c r="A10" s="12">
        <f>表紙!AP63</f>
        <v>10205</v>
      </c>
      <c r="B10" s="5" t="s">
        <v>16</v>
      </c>
      <c r="C10" s="5" t="s">
        <v>412</v>
      </c>
      <c r="D10" s="5" t="s">
        <v>229</v>
      </c>
      <c r="E10" s="5" t="s">
        <v>132</v>
      </c>
      <c r="F10" s="5" t="s">
        <v>234</v>
      </c>
      <c r="G10" s="5" t="s">
        <v>236</v>
      </c>
      <c r="H10" s="5">
        <v>2</v>
      </c>
      <c r="I10" s="5">
        <v>11</v>
      </c>
      <c r="J10" s="5">
        <v>7</v>
      </c>
      <c r="K10" s="5">
        <v>2</v>
      </c>
      <c r="L10" s="5"/>
    </row>
    <row r="11" spans="1:12" x14ac:dyDescent="0.15">
      <c r="A11" s="12">
        <f>表紙!AP64</f>
        <v>10301</v>
      </c>
      <c r="B11" t="s">
        <v>17</v>
      </c>
      <c r="C11" t="s">
        <v>413</v>
      </c>
      <c r="D11" t="s">
        <v>115</v>
      </c>
      <c r="E11" t="s">
        <v>395</v>
      </c>
      <c r="G11" t="s">
        <v>394</v>
      </c>
      <c r="H11">
        <v>4</v>
      </c>
      <c r="I11">
        <v>7</v>
      </c>
      <c r="J11">
        <v>8</v>
      </c>
      <c r="K11">
        <v>3</v>
      </c>
    </row>
    <row r="12" spans="1:12" x14ac:dyDescent="0.15">
      <c r="A12" s="12">
        <f>表紙!AP65</f>
        <v>10302</v>
      </c>
      <c r="B12" t="s">
        <v>17</v>
      </c>
      <c r="C12" t="s">
        <v>414</v>
      </c>
      <c r="D12" t="s">
        <v>115</v>
      </c>
      <c r="E12" t="s">
        <v>395</v>
      </c>
      <c r="G12" t="s">
        <v>394</v>
      </c>
      <c r="H12">
        <v>4</v>
      </c>
      <c r="I12">
        <v>7</v>
      </c>
      <c r="J12">
        <v>8</v>
      </c>
      <c r="K12">
        <v>3</v>
      </c>
    </row>
    <row r="13" spans="1:12" x14ac:dyDescent="0.15">
      <c r="A13" s="12">
        <f>表紙!AP66</f>
        <v>10303</v>
      </c>
      <c r="B13" t="s">
        <v>17</v>
      </c>
      <c r="C13" t="s">
        <v>415</v>
      </c>
      <c r="D13" t="s">
        <v>115</v>
      </c>
      <c r="E13" t="s">
        <v>395</v>
      </c>
      <c r="G13" t="s">
        <v>394</v>
      </c>
      <c r="H13">
        <v>4</v>
      </c>
      <c r="I13">
        <v>6</v>
      </c>
      <c r="J13">
        <v>8</v>
      </c>
      <c r="K13">
        <v>3</v>
      </c>
    </row>
    <row r="14" spans="1:12" x14ac:dyDescent="0.15">
      <c r="A14" s="12">
        <f>表紙!AP67</f>
        <v>10304</v>
      </c>
      <c r="B14" t="s">
        <v>17</v>
      </c>
      <c r="C14" t="s">
        <v>416</v>
      </c>
      <c r="D14" t="s">
        <v>115</v>
      </c>
      <c r="E14" t="s">
        <v>117</v>
      </c>
      <c r="G14" t="s">
        <v>396</v>
      </c>
      <c r="H14">
        <v>3</v>
      </c>
      <c r="I14">
        <v>6</v>
      </c>
      <c r="J14">
        <v>9</v>
      </c>
      <c r="K14">
        <v>3</v>
      </c>
    </row>
    <row r="15" spans="1:12" x14ac:dyDescent="0.15">
      <c r="A15" s="12">
        <f>表紙!AP68</f>
        <v>10305</v>
      </c>
      <c r="B15" t="s">
        <v>17</v>
      </c>
      <c r="C15" t="s">
        <v>417</v>
      </c>
      <c r="D15" t="s">
        <v>115</v>
      </c>
      <c r="E15" t="s">
        <v>395</v>
      </c>
      <c r="G15" t="s">
        <v>394</v>
      </c>
      <c r="H15">
        <v>3</v>
      </c>
      <c r="I15">
        <v>6</v>
      </c>
      <c r="J15">
        <v>9</v>
      </c>
      <c r="K15">
        <v>3</v>
      </c>
    </row>
    <row r="16" spans="1:12" x14ac:dyDescent="0.15">
      <c r="A16" s="12">
        <f>表紙!AP69</f>
        <v>10401</v>
      </c>
      <c r="B16" t="s">
        <v>118</v>
      </c>
      <c r="C16" t="s">
        <v>418</v>
      </c>
      <c r="D16" t="s">
        <v>115</v>
      </c>
      <c r="E16" t="s">
        <v>122</v>
      </c>
      <c r="G16" t="s">
        <v>122</v>
      </c>
      <c r="H16">
        <v>2</v>
      </c>
      <c r="I16">
        <v>5</v>
      </c>
      <c r="J16">
        <v>9</v>
      </c>
      <c r="K16">
        <v>3</v>
      </c>
    </row>
    <row r="17" spans="1:12" x14ac:dyDescent="0.15">
      <c r="A17" s="12">
        <f>表紙!AP70</f>
        <v>10402</v>
      </c>
      <c r="B17" t="s">
        <v>118</v>
      </c>
      <c r="C17" t="s">
        <v>419</v>
      </c>
      <c r="D17" t="s">
        <v>115</v>
      </c>
      <c r="E17" t="s">
        <v>122</v>
      </c>
      <c r="G17" t="s">
        <v>122</v>
      </c>
      <c r="H17">
        <v>2</v>
      </c>
      <c r="I17">
        <v>5</v>
      </c>
      <c r="J17">
        <v>9</v>
      </c>
      <c r="K17">
        <v>3</v>
      </c>
    </row>
    <row r="18" spans="1:12" x14ac:dyDescent="0.15">
      <c r="A18" s="12">
        <f>表紙!AP71</f>
        <v>10501</v>
      </c>
      <c r="B18" t="s">
        <v>19</v>
      </c>
      <c r="C18" t="s">
        <v>420</v>
      </c>
      <c r="D18" t="s">
        <v>120</v>
      </c>
      <c r="E18" t="s">
        <v>116</v>
      </c>
      <c r="G18" t="s">
        <v>116</v>
      </c>
      <c r="H18">
        <v>1</v>
      </c>
      <c r="I18">
        <v>4</v>
      </c>
      <c r="J18">
        <v>8</v>
      </c>
      <c r="K18">
        <v>2</v>
      </c>
    </row>
    <row r="19" spans="1:12" x14ac:dyDescent="0.15">
      <c r="A19" s="12">
        <f>表紙!AP72</f>
        <v>10601</v>
      </c>
      <c r="B19" t="s">
        <v>119</v>
      </c>
      <c r="C19" t="s">
        <v>421</v>
      </c>
      <c r="D19" t="s">
        <v>121</v>
      </c>
      <c r="E19">
        <v>0</v>
      </c>
      <c r="G19">
        <v>0</v>
      </c>
      <c r="H19">
        <v>1</v>
      </c>
      <c r="I19">
        <v>0</v>
      </c>
      <c r="J19">
        <v>7</v>
      </c>
      <c r="K19">
        <v>2</v>
      </c>
      <c r="L19" t="s">
        <v>124</v>
      </c>
    </row>
    <row r="20" spans="1:12" x14ac:dyDescent="0.15">
      <c r="A20" s="12">
        <f>表紙!AP73</f>
        <v>10701</v>
      </c>
      <c r="B20" t="s">
        <v>125</v>
      </c>
      <c r="C20" t="s">
        <v>588</v>
      </c>
      <c r="D20" t="s">
        <v>126</v>
      </c>
      <c r="E20" t="s">
        <v>127</v>
      </c>
      <c r="F20" t="s">
        <v>585</v>
      </c>
      <c r="G20" t="s">
        <v>128</v>
      </c>
      <c r="H20">
        <v>4</v>
      </c>
      <c r="I20">
        <v>8</v>
      </c>
      <c r="J20">
        <v>11</v>
      </c>
      <c r="K20">
        <v>3</v>
      </c>
    </row>
    <row r="21" spans="1:12" x14ac:dyDescent="0.15">
      <c r="A21" s="12">
        <f>表紙!AP74</f>
        <v>10702</v>
      </c>
      <c r="B21" t="s">
        <v>129</v>
      </c>
      <c r="C21" t="s">
        <v>590</v>
      </c>
      <c r="D21" t="s">
        <v>126</v>
      </c>
      <c r="E21" t="s">
        <v>130</v>
      </c>
      <c r="F21" t="s">
        <v>131</v>
      </c>
      <c r="G21" t="s">
        <v>132</v>
      </c>
      <c r="H21">
        <v>3</v>
      </c>
      <c r="I21">
        <v>5</v>
      </c>
      <c r="J21">
        <v>8</v>
      </c>
      <c r="K21">
        <v>6</v>
      </c>
    </row>
    <row r="22" spans="1:12" x14ac:dyDescent="0.15">
      <c r="A22" s="12">
        <f>表紙!AP75</f>
        <v>10703</v>
      </c>
      <c r="B22" t="s">
        <v>133</v>
      </c>
      <c r="C22" t="s">
        <v>592</v>
      </c>
      <c r="D22" t="s">
        <v>126</v>
      </c>
      <c r="E22" t="s">
        <v>134</v>
      </c>
      <c r="F22" t="s">
        <v>135</v>
      </c>
      <c r="G22" t="s">
        <v>136</v>
      </c>
      <c r="H22">
        <v>2</v>
      </c>
      <c r="I22">
        <v>4</v>
      </c>
      <c r="J22">
        <v>9</v>
      </c>
      <c r="K22">
        <v>5</v>
      </c>
    </row>
    <row r="23" spans="1:12" x14ac:dyDescent="0.15">
      <c r="A23" s="12">
        <f>表紙!AP76</f>
        <v>10704</v>
      </c>
      <c r="B23" t="s">
        <v>137</v>
      </c>
      <c r="C23" t="s">
        <v>594</v>
      </c>
      <c r="D23" t="s">
        <v>126</v>
      </c>
      <c r="E23" t="s">
        <v>134</v>
      </c>
      <c r="G23" t="s">
        <v>130</v>
      </c>
      <c r="H23">
        <v>2</v>
      </c>
      <c r="I23">
        <v>3</v>
      </c>
      <c r="J23">
        <v>8</v>
      </c>
      <c r="K23">
        <v>4</v>
      </c>
    </row>
    <row r="24" spans="1:12" x14ac:dyDescent="0.15">
      <c r="A24" s="12">
        <f>表紙!AP77</f>
        <v>20101</v>
      </c>
      <c r="B24" t="s">
        <v>138</v>
      </c>
      <c r="C24" t="s">
        <v>422</v>
      </c>
      <c r="D24" t="s">
        <v>120</v>
      </c>
      <c r="E24">
        <v>15</v>
      </c>
      <c r="F24">
        <v>25</v>
      </c>
      <c r="G24">
        <v>40</v>
      </c>
      <c r="H24">
        <v>11</v>
      </c>
      <c r="I24">
        <v>30</v>
      </c>
      <c r="J24">
        <v>35</v>
      </c>
      <c r="K24">
        <v>9</v>
      </c>
    </row>
    <row r="25" spans="1:12" x14ac:dyDescent="0.15">
      <c r="A25" s="12">
        <f>表紙!AP78</f>
        <v>20102</v>
      </c>
      <c r="B25" t="s">
        <v>139</v>
      </c>
      <c r="C25" t="s">
        <v>423</v>
      </c>
      <c r="D25" t="s">
        <v>120</v>
      </c>
      <c r="E25">
        <v>15</v>
      </c>
      <c r="F25">
        <v>25</v>
      </c>
      <c r="G25">
        <v>40</v>
      </c>
      <c r="H25">
        <v>7</v>
      </c>
      <c r="I25">
        <v>30</v>
      </c>
      <c r="J25">
        <v>40</v>
      </c>
      <c r="K25">
        <v>11</v>
      </c>
    </row>
    <row r="26" spans="1:12" x14ac:dyDescent="0.15">
      <c r="A26" s="12">
        <f>表紙!AP79</f>
        <v>20201</v>
      </c>
      <c r="B26" t="s">
        <v>140</v>
      </c>
      <c r="C26" t="s">
        <v>424</v>
      </c>
      <c r="D26" t="s">
        <v>120</v>
      </c>
      <c r="E26">
        <v>12</v>
      </c>
      <c r="F26">
        <v>18</v>
      </c>
      <c r="G26">
        <v>30</v>
      </c>
      <c r="H26">
        <v>10</v>
      </c>
      <c r="I26">
        <v>30</v>
      </c>
      <c r="J26">
        <v>18</v>
      </c>
      <c r="K26">
        <v>5</v>
      </c>
    </row>
    <row r="27" spans="1:12" x14ac:dyDescent="0.15">
      <c r="A27" s="12">
        <f>表紙!AP80</f>
        <v>20202</v>
      </c>
      <c r="B27" t="s">
        <v>141</v>
      </c>
      <c r="C27" t="s">
        <v>425</v>
      </c>
      <c r="D27" t="s">
        <v>120</v>
      </c>
      <c r="E27">
        <v>15</v>
      </c>
      <c r="F27">
        <v>12</v>
      </c>
      <c r="G27">
        <v>27</v>
      </c>
      <c r="H27">
        <v>8</v>
      </c>
      <c r="I27">
        <v>27</v>
      </c>
      <c r="J27">
        <v>17</v>
      </c>
      <c r="K27">
        <v>4</v>
      </c>
    </row>
    <row r="28" spans="1:12" x14ac:dyDescent="0.15">
      <c r="A28" s="12">
        <f>表紙!AP81</f>
        <v>20301</v>
      </c>
      <c r="B28" t="s">
        <v>142</v>
      </c>
      <c r="C28" t="s">
        <v>426</v>
      </c>
      <c r="D28" t="s">
        <v>120</v>
      </c>
      <c r="E28">
        <v>12</v>
      </c>
      <c r="F28">
        <v>18</v>
      </c>
      <c r="G28">
        <v>30</v>
      </c>
      <c r="H28">
        <v>7</v>
      </c>
      <c r="I28">
        <v>30</v>
      </c>
      <c r="J28">
        <v>13</v>
      </c>
      <c r="K28">
        <v>3</v>
      </c>
    </row>
    <row r="29" spans="1:12" x14ac:dyDescent="0.15">
      <c r="A29" s="12">
        <f>表紙!AP82</f>
        <v>20401</v>
      </c>
      <c r="B29" t="s">
        <v>143</v>
      </c>
      <c r="C29" t="s">
        <v>427</v>
      </c>
      <c r="D29" t="s">
        <v>120</v>
      </c>
      <c r="E29">
        <v>15</v>
      </c>
      <c r="F29">
        <v>18</v>
      </c>
      <c r="G29">
        <v>33</v>
      </c>
      <c r="H29">
        <v>6</v>
      </c>
      <c r="I29">
        <v>30</v>
      </c>
      <c r="J29">
        <v>15</v>
      </c>
      <c r="K29">
        <v>6</v>
      </c>
    </row>
    <row r="30" spans="1:12" x14ac:dyDescent="0.15">
      <c r="A30" s="12">
        <f>表紙!AP83</f>
        <v>20402</v>
      </c>
      <c r="B30" t="s">
        <v>144</v>
      </c>
      <c r="C30" t="s">
        <v>428</v>
      </c>
      <c r="D30" t="s">
        <v>120</v>
      </c>
      <c r="E30">
        <v>15</v>
      </c>
      <c r="F30">
        <v>15</v>
      </c>
      <c r="G30">
        <v>30</v>
      </c>
      <c r="H30">
        <v>4</v>
      </c>
      <c r="I30">
        <v>29</v>
      </c>
      <c r="J30">
        <v>24</v>
      </c>
      <c r="K30">
        <v>7</v>
      </c>
    </row>
    <row r="31" spans="1:12" x14ac:dyDescent="0.15">
      <c r="A31" s="12">
        <f>表紙!AP84</f>
        <v>20501</v>
      </c>
      <c r="B31" t="s">
        <v>145</v>
      </c>
      <c r="C31" t="s">
        <v>519</v>
      </c>
      <c r="D31" t="s">
        <v>120</v>
      </c>
      <c r="E31">
        <v>13</v>
      </c>
      <c r="F31">
        <v>6</v>
      </c>
      <c r="G31">
        <v>19</v>
      </c>
      <c r="H31">
        <v>6</v>
      </c>
      <c r="I31">
        <v>19</v>
      </c>
      <c r="J31">
        <v>14</v>
      </c>
      <c r="K31">
        <v>4</v>
      </c>
    </row>
    <row r="32" spans="1:12" x14ac:dyDescent="0.15">
      <c r="A32" s="12">
        <f>表紙!AP85</f>
        <v>20502</v>
      </c>
      <c r="B32" t="s">
        <v>146</v>
      </c>
      <c r="C32" t="s">
        <v>520</v>
      </c>
      <c r="D32" t="s">
        <v>120</v>
      </c>
      <c r="E32">
        <v>11</v>
      </c>
      <c r="F32">
        <v>6</v>
      </c>
      <c r="G32">
        <v>17</v>
      </c>
      <c r="H32">
        <v>4</v>
      </c>
      <c r="I32">
        <v>15</v>
      </c>
      <c r="J32">
        <v>20</v>
      </c>
      <c r="K32">
        <v>5</v>
      </c>
    </row>
    <row r="33" spans="1:11" x14ac:dyDescent="0.15">
      <c r="A33" s="12">
        <f>表紙!AP86</f>
        <v>20601</v>
      </c>
      <c r="B33" t="s">
        <v>147</v>
      </c>
      <c r="C33" t="s">
        <v>429</v>
      </c>
      <c r="D33" t="s">
        <v>120</v>
      </c>
      <c r="E33">
        <v>15</v>
      </c>
      <c r="F33">
        <v>15</v>
      </c>
      <c r="G33">
        <v>30</v>
      </c>
      <c r="H33">
        <v>8</v>
      </c>
      <c r="I33">
        <v>30</v>
      </c>
      <c r="J33">
        <v>15</v>
      </c>
      <c r="K33">
        <v>7</v>
      </c>
    </row>
    <row r="34" spans="1:11" x14ac:dyDescent="0.15">
      <c r="A34" s="12">
        <f>表紙!AP87</f>
        <v>20701</v>
      </c>
      <c r="B34" t="s">
        <v>148</v>
      </c>
      <c r="C34" t="s">
        <v>430</v>
      </c>
      <c r="D34" t="s">
        <v>120</v>
      </c>
      <c r="E34">
        <v>10</v>
      </c>
      <c r="F34">
        <v>5</v>
      </c>
      <c r="G34">
        <v>15</v>
      </c>
      <c r="H34">
        <v>4</v>
      </c>
      <c r="I34">
        <v>15</v>
      </c>
      <c r="J34">
        <v>17</v>
      </c>
      <c r="K34">
        <v>3</v>
      </c>
    </row>
    <row r="35" spans="1:11" x14ac:dyDescent="0.15">
      <c r="A35" s="12">
        <f>表紙!AP88</f>
        <v>20801</v>
      </c>
      <c r="B35" t="s">
        <v>149</v>
      </c>
      <c r="C35" t="s">
        <v>431</v>
      </c>
      <c r="D35" t="s">
        <v>120</v>
      </c>
      <c r="E35">
        <v>10</v>
      </c>
      <c r="F35">
        <v>0</v>
      </c>
      <c r="G35">
        <v>10</v>
      </c>
      <c r="H35">
        <v>4</v>
      </c>
      <c r="I35">
        <v>13</v>
      </c>
      <c r="J35">
        <v>21</v>
      </c>
      <c r="K35">
        <v>6</v>
      </c>
    </row>
    <row r="36" spans="1:11" x14ac:dyDescent="0.15">
      <c r="A36" s="12">
        <f>表紙!AP89</f>
        <v>20802</v>
      </c>
      <c r="B36" t="s">
        <v>150</v>
      </c>
      <c r="C36" t="s">
        <v>521</v>
      </c>
      <c r="D36" t="s">
        <v>120</v>
      </c>
      <c r="E36">
        <v>10</v>
      </c>
      <c r="F36">
        <v>0</v>
      </c>
      <c r="G36">
        <v>10</v>
      </c>
      <c r="H36">
        <v>6</v>
      </c>
      <c r="I36">
        <v>15</v>
      </c>
      <c r="J36">
        <v>23</v>
      </c>
      <c r="K36">
        <v>7</v>
      </c>
    </row>
    <row r="37" spans="1:11" x14ac:dyDescent="0.15">
      <c r="A37" s="12">
        <f>表紙!AP90</f>
        <v>20901</v>
      </c>
      <c r="B37" t="s">
        <v>40</v>
      </c>
      <c r="C37" t="s">
        <v>432</v>
      </c>
      <c r="D37" t="s">
        <v>126</v>
      </c>
      <c r="E37">
        <v>15</v>
      </c>
      <c r="F37">
        <v>8</v>
      </c>
      <c r="G37">
        <v>23</v>
      </c>
      <c r="H37">
        <v>3</v>
      </c>
      <c r="I37">
        <v>15</v>
      </c>
      <c r="J37">
        <v>22</v>
      </c>
      <c r="K37">
        <v>6</v>
      </c>
    </row>
    <row r="38" spans="1:11" x14ac:dyDescent="0.15">
      <c r="A38" s="12">
        <f>表紙!AP91</f>
        <v>21001</v>
      </c>
      <c r="B38" t="s">
        <v>39</v>
      </c>
      <c r="C38" t="s">
        <v>433</v>
      </c>
      <c r="D38" t="s">
        <v>151</v>
      </c>
      <c r="E38">
        <v>5</v>
      </c>
      <c r="F38">
        <v>0</v>
      </c>
      <c r="G38">
        <v>5</v>
      </c>
      <c r="H38">
        <v>5</v>
      </c>
      <c r="I38">
        <v>5</v>
      </c>
      <c r="J38">
        <v>15</v>
      </c>
      <c r="K38">
        <v>3</v>
      </c>
    </row>
    <row r="39" spans="1:11" x14ac:dyDescent="0.15">
      <c r="A39" s="12">
        <f>表紙!AP92</f>
        <v>21002</v>
      </c>
      <c r="B39" t="s">
        <v>39</v>
      </c>
      <c r="C39" t="s">
        <v>434</v>
      </c>
      <c r="D39" t="s">
        <v>151</v>
      </c>
      <c r="E39">
        <v>8</v>
      </c>
      <c r="F39">
        <v>0</v>
      </c>
      <c r="G39">
        <v>8</v>
      </c>
      <c r="H39">
        <v>6</v>
      </c>
      <c r="I39">
        <v>8</v>
      </c>
      <c r="J39">
        <v>17</v>
      </c>
      <c r="K39">
        <v>3</v>
      </c>
    </row>
    <row r="40" spans="1:11" x14ac:dyDescent="0.15">
      <c r="A40" s="12">
        <f>表紙!AP93</f>
        <v>21101</v>
      </c>
      <c r="B40" t="s">
        <v>152</v>
      </c>
      <c r="C40" t="s">
        <v>522</v>
      </c>
      <c r="D40" t="s">
        <v>151</v>
      </c>
      <c r="E40">
        <v>13</v>
      </c>
      <c r="F40">
        <v>5</v>
      </c>
      <c r="G40">
        <v>18</v>
      </c>
      <c r="H40">
        <v>5</v>
      </c>
      <c r="I40">
        <v>15</v>
      </c>
      <c r="J40">
        <v>15</v>
      </c>
      <c r="K40">
        <v>6</v>
      </c>
    </row>
    <row r="41" spans="1:11" x14ac:dyDescent="0.15">
      <c r="A41" s="12">
        <f>表紙!AP94</f>
        <v>21201</v>
      </c>
      <c r="B41" t="s">
        <v>153</v>
      </c>
      <c r="C41" t="s">
        <v>523</v>
      </c>
      <c r="D41" t="s">
        <v>120</v>
      </c>
      <c r="E41">
        <v>7</v>
      </c>
      <c r="F41">
        <v>15</v>
      </c>
      <c r="G41">
        <v>22</v>
      </c>
      <c r="H41">
        <v>2</v>
      </c>
      <c r="I41">
        <v>17</v>
      </c>
      <c r="J41">
        <v>23</v>
      </c>
      <c r="K41">
        <v>6</v>
      </c>
    </row>
    <row r="42" spans="1:11" x14ac:dyDescent="0.15">
      <c r="A42" s="12">
        <f>表紙!AP95</f>
        <v>21301</v>
      </c>
      <c r="B42" t="s">
        <v>154</v>
      </c>
      <c r="C42" t="s">
        <v>435</v>
      </c>
      <c r="D42" t="s">
        <v>120</v>
      </c>
      <c r="E42">
        <v>14</v>
      </c>
      <c r="F42">
        <v>6</v>
      </c>
      <c r="G42">
        <v>20</v>
      </c>
      <c r="H42">
        <v>3</v>
      </c>
      <c r="I42">
        <v>22</v>
      </c>
      <c r="J42">
        <v>20</v>
      </c>
      <c r="K42">
        <v>6</v>
      </c>
    </row>
    <row r="43" spans="1:11" x14ac:dyDescent="0.15">
      <c r="A43" s="12">
        <f>表紙!AP96</f>
        <v>21401</v>
      </c>
      <c r="B43" t="s">
        <v>155</v>
      </c>
      <c r="C43" t="s">
        <v>524</v>
      </c>
      <c r="D43" t="s">
        <v>126</v>
      </c>
      <c r="E43">
        <v>7</v>
      </c>
      <c r="F43">
        <v>3</v>
      </c>
      <c r="G43">
        <v>10</v>
      </c>
      <c r="H43">
        <v>3</v>
      </c>
      <c r="I43">
        <v>15</v>
      </c>
      <c r="J43">
        <v>12</v>
      </c>
      <c r="K43">
        <v>4</v>
      </c>
    </row>
    <row r="44" spans="1:11" x14ac:dyDescent="0.15">
      <c r="A44" s="12">
        <f>表紙!AP97</f>
        <v>21501</v>
      </c>
      <c r="B44" t="s">
        <v>156</v>
      </c>
      <c r="C44" t="s">
        <v>525</v>
      </c>
      <c r="D44" t="s">
        <v>120</v>
      </c>
      <c r="E44">
        <v>15</v>
      </c>
      <c r="F44">
        <v>10</v>
      </c>
      <c r="G44">
        <v>25</v>
      </c>
      <c r="H44">
        <v>4</v>
      </c>
      <c r="I44">
        <v>15</v>
      </c>
      <c r="J44">
        <v>24</v>
      </c>
      <c r="K44">
        <v>6</v>
      </c>
    </row>
    <row r="45" spans="1:11" x14ac:dyDescent="0.15">
      <c r="A45" s="12">
        <f>表紙!AP98</f>
        <v>21601</v>
      </c>
      <c r="B45" t="s">
        <v>157</v>
      </c>
      <c r="C45" t="s">
        <v>526</v>
      </c>
      <c r="D45" t="s">
        <v>121</v>
      </c>
      <c r="E45">
        <v>15</v>
      </c>
      <c r="F45">
        <v>10</v>
      </c>
      <c r="G45">
        <v>25</v>
      </c>
      <c r="H45">
        <v>5</v>
      </c>
      <c r="I45">
        <v>20</v>
      </c>
      <c r="J45" s="53">
        <v>23</v>
      </c>
      <c r="K45" s="53">
        <v>7</v>
      </c>
    </row>
    <row r="46" spans="1:11" x14ac:dyDescent="0.15">
      <c r="A46" s="12">
        <f>表紙!AP99</f>
        <v>21701</v>
      </c>
      <c r="B46" t="s">
        <v>158</v>
      </c>
      <c r="C46" t="s">
        <v>436</v>
      </c>
      <c r="D46" t="s">
        <v>159</v>
      </c>
      <c r="E46">
        <v>12</v>
      </c>
      <c r="F46">
        <v>6</v>
      </c>
      <c r="G46">
        <v>18</v>
      </c>
      <c r="H46">
        <v>4</v>
      </c>
      <c r="I46">
        <v>13</v>
      </c>
      <c r="J46">
        <v>21</v>
      </c>
      <c r="K46">
        <v>6</v>
      </c>
    </row>
    <row r="47" spans="1:11" x14ac:dyDescent="0.15">
      <c r="A47" s="12">
        <f>表紙!AP100</f>
        <v>21702</v>
      </c>
      <c r="B47" t="s">
        <v>158</v>
      </c>
      <c r="C47" t="s">
        <v>437</v>
      </c>
      <c r="D47" t="s">
        <v>159</v>
      </c>
      <c r="E47">
        <v>10</v>
      </c>
      <c r="F47">
        <v>6</v>
      </c>
      <c r="G47">
        <v>16</v>
      </c>
      <c r="H47">
        <v>6</v>
      </c>
      <c r="I47">
        <v>15</v>
      </c>
      <c r="J47">
        <v>23</v>
      </c>
      <c r="K47">
        <v>7</v>
      </c>
    </row>
    <row r="48" spans="1:11" x14ac:dyDescent="0.15">
      <c r="A48" s="12">
        <f>表紙!AP101</f>
        <v>21801</v>
      </c>
      <c r="B48" t="s">
        <v>160</v>
      </c>
      <c r="C48" t="s">
        <v>527</v>
      </c>
      <c r="D48" t="s">
        <v>159</v>
      </c>
      <c r="E48">
        <v>12</v>
      </c>
      <c r="F48">
        <v>6</v>
      </c>
      <c r="G48">
        <v>18</v>
      </c>
      <c r="H48">
        <v>3</v>
      </c>
      <c r="I48">
        <v>15</v>
      </c>
      <c r="J48">
        <v>22</v>
      </c>
      <c r="K48">
        <v>6</v>
      </c>
    </row>
    <row r="49" spans="1:11" x14ac:dyDescent="0.15">
      <c r="A49" s="12">
        <f>表紙!AP102</f>
        <v>21901</v>
      </c>
      <c r="B49" t="s">
        <v>161</v>
      </c>
      <c r="C49" t="s">
        <v>438</v>
      </c>
      <c r="D49" t="s">
        <v>159</v>
      </c>
      <c r="E49">
        <v>12</v>
      </c>
      <c r="F49">
        <v>0</v>
      </c>
      <c r="G49">
        <v>12</v>
      </c>
      <c r="H49">
        <v>5</v>
      </c>
      <c r="I49">
        <v>5</v>
      </c>
      <c r="J49">
        <v>15</v>
      </c>
      <c r="K49">
        <v>3</v>
      </c>
    </row>
    <row r="50" spans="1:11" x14ac:dyDescent="0.15">
      <c r="A50" s="12">
        <f>表紙!AP103</f>
        <v>21902</v>
      </c>
      <c r="B50" t="s">
        <v>162</v>
      </c>
      <c r="C50" t="s">
        <v>439</v>
      </c>
      <c r="D50" t="s">
        <v>159</v>
      </c>
      <c r="E50">
        <v>12</v>
      </c>
      <c r="F50">
        <v>0</v>
      </c>
      <c r="G50">
        <v>12</v>
      </c>
      <c r="H50">
        <v>6</v>
      </c>
      <c r="I50">
        <v>8</v>
      </c>
      <c r="J50">
        <v>17</v>
      </c>
      <c r="K50">
        <v>3</v>
      </c>
    </row>
    <row r="51" spans="1:11" x14ac:dyDescent="0.15">
      <c r="A51" s="12">
        <f>表紙!AP104</f>
        <v>21903</v>
      </c>
      <c r="B51" t="s">
        <v>162</v>
      </c>
      <c r="C51" t="s">
        <v>528</v>
      </c>
      <c r="D51" t="s">
        <v>159</v>
      </c>
      <c r="E51">
        <v>10</v>
      </c>
      <c r="F51">
        <v>0</v>
      </c>
      <c r="G51">
        <v>10</v>
      </c>
      <c r="H51">
        <v>5</v>
      </c>
      <c r="I51">
        <v>15</v>
      </c>
      <c r="J51">
        <v>15</v>
      </c>
      <c r="K51">
        <v>6</v>
      </c>
    </row>
    <row r="52" spans="1:11" x14ac:dyDescent="0.15">
      <c r="A52" s="12">
        <f>表紙!AP105</f>
        <v>22001</v>
      </c>
      <c r="B52" t="s">
        <v>163</v>
      </c>
      <c r="C52" t="s">
        <v>529</v>
      </c>
      <c r="D52" t="s">
        <v>159</v>
      </c>
      <c r="E52">
        <v>10</v>
      </c>
      <c r="F52">
        <v>0</v>
      </c>
      <c r="G52">
        <v>10</v>
      </c>
      <c r="H52">
        <v>2</v>
      </c>
      <c r="I52">
        <v>17</v>
      </c>
      <c r="J52">
        <v>23</v>
      </c>
      <c r="K52">
        <v>6</v>
      </c>
    </row>
    <row r="53" spans="1:11" x14ac:dyDescent="0.15">
      <c r="A53" s="12">
        <f>表紙!AP106</f>
        <v>22101</v>
      </c>
      <c r="B53" t="s">
        <v>164</v>
      </c>
      <c r="C53" t="s">
        <v>440</v>
      </c>
      <c r="D53" t="s">
        <v>120</v>
      </c>
      <c r="E53">
        <v>10</v>
      </c>
      <c r="G53">
        <v>10</v>
      </c>
      <c r="H53">
        <v>2</v>
      </c>
      <c r="I53">
        <v>10</v>
      </c>
      <c r="J53">
        <v>12</v>
      </c>
      <c r="K53">
        <v>3</v>
      </c>
    </row>
    <row r="54" spans="1:11" x14ac:dyDescent="0.15">
      <c r="A54" s="12">
        <f>表紙!AP107</f>
        <v>22102</v>
      </c>
      <c r="B54" t="s">
        <v>164</v>
      </c>
      <c r="C54" t="s">
        <v>441</v>
      </c>
      <c r="D54" t="s">
        <v>120</v>
      </c>
      <c r="E54">
        <v>15</v>
      </c>
      <c r="F54">
        <v>3</v>
      </c>
      <c r="G54">
        <v>18</v>
      </c>
      <c r="H54">
        <v>7</v>
      </c>
      <c r="I54">
        <v>16</v>
      </c>
      <c r="J54">
        <v>8</v>
      </c>
      <c r="K54">
        <v>2</v>
      </c>
    </row>
    <row r="55" spans="1:11" x14ac:dyDescent="0.15">
      <c r="A55" s="12">
        <f>表紙!AP108</f>
        <v>22103</v>
      </c>
      <c r="B55" t="s">
        <v>164</v>
      </c>
      <c r="C55" t="s">
        <v>442</v>
      </c>
      <c r="D55" t="s">
        <v>120</v>
      </c>
      <c r="E55">
        <v>18</v>
      </c>
      <c r="F55">
        <v>3</v>
      </c>
      <c r="G55">
        <v>21</v>
      </c>
      <c r="H55">
        <v>9</v>
      </c>
      <c r="I55">
        <v>21</v>
      </c>
      <c r="J55">
        <v>7</v>
      </c>
      <c r="K55">
        <v>2</v>
      </c>
    </row>
    <row r="56" spans="1:11" x14ac:dyDescent="0.15">
      <c r="A56" s="12">
        <f>表紙!AP109</f>
        <v>22104</v>
      </c>
      <c r="B56" t="s">
        <v>164</v>
      </c>
      <c r="C56" t="s">
        <v>443</v>
      </c>
      <c r="D56" t="s">
        <v>120</v>
      </c>
      <c r="E56">
        <v>18</v>
      </c>
      <c r="F56">
        <v>7</v>
      </c>
      <c r="G56">
        <v>25</v>
      </c>
      <c r="H56">
        <v>11</v>
      </c>
      <c r="I56">
        <v>25</v>
      </c>
      <c r="J56">
        <v>7</v>
      </c>
      <c r="K56">
        <v>2</v>
      </c>
    </row>
    <row r="57" spans="1:11" x14ac:dyDescent="0.15">
      <c r="A57" s="12">
        <f>表紙!AP110</f>
        <v>22105</v>
      </c>
      <c r="B57" t="s">
        <v>164</v>
      </c>
      <c r="C57" t="s">
        <v>444</v>
      </c>
      <c r="D57" t="s">
        <v>120</v>
      </c>
      <c r="E57">
        <v>30</v>
      </c>
      <c r="G57">
        <v>30</v>
      </c>
      <c r="H57">
        <v>5</v>
      </c>
      <c r="I57">
        <v>15</v>
      </c>
      <c r="J57">
        <v>21</v>
      </c>
      <c r="K57">
        <v>5</v>
      </c>
    </row>
    <row r="58" spans="1:11" x14ac:dyDescent="0.15">
      <c r="A58" s="12">
        <f>表紙!AP111</f>
        <v>22201</v>
      </c>
      <c r="B58" t="s">
        <v>165</v>
      </c>
      <c r="C58" t="s">
        <v>445</v>
      </c>
      <c r="D58" t="s">
        <v>120</v>
      </c>
      <c r="E58">
        <v>9</v>
      </c>
      <c r="G58">
        <v>9</v>
      </c>
      <c r="H58">
        <v>2</v>
      </c>
      <c r="I58">
        <v>8</v>
      </c>
      <c r="J58">
        <v>5</v>
      </c>
      <c r="K58">
        <v>2</v>
      </c>
    </row>
    <row r="59" spans="1:11" x14ac:dyDescent="0.15">
      <c r="A59" s="12">
        <f>表紙!AP112</f>
        <v>22202</v>
      </c>
      <c r="B59" t="s">
        <v>165</v>
      </c>
      <c r="C59" t="s">
        <v>446</v>
      </c>
      <c r="D59" t="s">
        <v>120</v>
      </c>
      <c r="E59">
        <v>7</v>
      </c>
      <c r="G59">
        <v>7</v>
      </c>
      <c r="H59">
        <v>2</v>
      </c>
      <c r="I59">
        <v>7</v>
      </c>
      <c r="J59">
        <v>5</v>
      </c>
      <c r="K59">
        <v>2</v>
      </c>
    </row>
    <row r="60" spans="1:11" x14ac:dyDescent="0.15">
      <c r="A60" s="12">
        <f>表紙!AP113</f>
        <v>22203</v>
      </c>
      <c r="B60" t="s">
        <v>165</v>
      </c>
      <c r="C60" t="s">
        <v>447</v>
      </c>
      <c r="D60" t="s">
        <v>120</v>
      </c>
      <c r="E60">
        <v>4</v>
      </c>
      <c r="G60">
        <v>4</v>
      </c>
      <c r="H60">
        <v>1</v>
      </c>
      <c r="I60">
        <v>4</v>
      </c>
      <c r="J60">
        <v>4</v>
      </c>
      <c r="K60">
        <v>2</v>
      </c>
    </row>
    <row r="61" spans="1:11" x14ac:dyDescent="0.15">
      <c r="A61" s="12">
        <f>表紙!AP114</f>
        <v>22204</v>
      </c>
      <c r="B61" t="s">
        <v>165</v>
      </c>
      <c r="C61" t="s">
        <v>448</v>
      </c>
      <c r="D61" t="s">
        <v>120</v>
      </c>
      <c r="E61">
        <v>0</v>
      </c>
      <c r="G61">
        <v>0</v>
      </c>
      <c r="H61">
        <v>2</v>
      </c>
      <c r="I61">
        <v>0</v>
      </c>
      <c r="J61">
        <v>4</v>
      </c>
      <c r="K61">
        <v>2</v>
      </c>
    </row>
    <row r="62" spans="1:11" x14ac:dyDescent="0.15">
      <c r="A62" s="12">
        <f>表紙!AP115</f>
        <v>22301</v>
      </c>
      <c r="B62" t="s">
        <v>166</v>
      </c>
      <c r="C62" t="s">
        <v>530</v>
      </c>
      <c r="D62" t="s">
        <v>159</v>
      </c>
      <c r="E62">
        <v>15</v>
      </c>
      <c r="F62">
        <v>8</v>
      </c>
      <c r="G62">
        <v>23</v>
      </c>
      <c r="H62">
        <v>2</v>
      </c>
      <c r="I62">
        <v>8</v>
      </c>
      <c r="J62">
        <v>22</v>
      </c>
      <c r="K62">
        <v>5</v>
      </c>
    </row>
    <row r="63" spans="1:11" x14ac:dyDescent="0.15">
      <c r="A63" s="12">
        <f>表紙!AP116</f>
        <v>22401</v>
      </c>
      <c r="B63" t="s">
        <v>167</v>
      </c>
      <c r="C63" t="s">
        <v>531</v>
      </c>
      <c r="D63" t="s">
        <v>159</v>
      </c>
      <c r="E63">
        <v>15</v>
      </c>
      <c r="F63">
        <v>8</v>
      </c>
      <c r="G63">
        <v>23</v>
      </c>
      <c r="H63">
        <v>4</v>
      </c>
      <c r="I63">
        <v>14</v>
      </c>
      <c r="J63">
        <v>18</v>
      </c>
      <c r="K63">
        <v>5</v>
      </c>
    </row>
    <row r="64" spans="1:11" x14ac:dyDescent="0.15">
      <c r="A64" s="12">
        <f>表紙!AP117</f>
        <v>22501</v>
      </c>
      <c r="B64" t="s">
        <v>168</v>
      </c>
      <c r="C64" t="s">
        <v>449</v>
      </c>
      <c r="D64" t="s">
        <v>123</v>
      </c>
      <c r="E64">
        <v>10</v>
      </c>
      <c r="F64">
        <v>5</v>
      </c>
      <c r="G64">
        <v>15</v>
      </c>
      <c r="H64">
        <v>2</v>
      </c>
      <c r="I64">
        <v>8</v>
      </c>
      <c r="J64">
        <v>18</v>
      </c>
      <c r="K64">
        <v>5</v>
      </c>
    </row>
    <row r="65" spans="1:11" x14ac:dyDescent="0.15">
      <c r="A65" s="12">
        <f>表紙!AP118</f>
        <v>22502</v>
      </c>
      <c r="B65" t="s">
        <v>68</v>
      </c>
      <c r="C65" t="s">
        <v>450</v>
      </c>
      <c r="D65" t="s">
        <v>169</v>
      </c>
      <c r="E65">
        <v>10</v>
      </c>
      <c r="F65">
        <v>5</v>
      </c>
      <c r="G65">
        <v>15</v>
      </c>
      <c r="H65">
        <v>3</v>
      </c>
      <c r="I65">
        <v>14</v>
      </c>
      <c r="J65">
        <v>18</v>
      </c>
      <c r="K65">
        <v>5</v>
      </c>
    </row>
    <row r="66" spans="1:11" x14ac:dyDescent="0.15">
      <c r="A66" s="12">
        <f>表紙!AP119</f>
        <v>22601</v>
      </c>
      <c r="B66" t="s">
        <v>54</v>
      </c>
      <c r="C66" t="s">
        <v>532</v>
      </c>
      <c r="D66" t="s">
        <v>397</v>
      </c>
      <c r="E66">
        <v>15</v>
      </c>
      <c r="F66">
        <v>0</v>
      </c>
      <c r="G66">
        <v>15</v>
      </c>
      <c r="H66">
        <v>3</v>
      </c>
      <c r="I66">
        <v>12</v>
      </c>
      <c r="J66">
        <v>7</v>
      </c>
      <c r="K66">
        <v>3</v>
      </c>
    </row>
    <row r="67" spans="1:11" x14ac:dyDescent="0.15">
      <c r="A67" s="12">
        <f>表紙!AP120</f>
        <v>22701</v>
      </c>
      <c r="B67" t="s">
        <v>171</v>
      </c>
      <c r="C67" t="s">
        <v>533</v>
      </c>
      <c r="D67" t="s">
        <v>172</v>
      </c>
      <c r="E67">
        <v>15</v>
      </c>
      <c r="F67">
        <v>15</v>
      </c>
      <c r="G67">
        <v>30</v>
      </c>
      <c r="H67">
        <v>1</v>
      </c>
      <c r="I67">
        <v>30</v>
      </c>
      <c r="J67">
        <v>27</v>
      </c>
      <c r="K67">
        <v>7</v>
      </c>
    </row>
    <row r="68" spans="1:11" x14ac:dyDescent="0.15">
      <c r="A68" s="12">
        <f>表紙!AP121</f>
        <v>22702</v>
      </c>
      <c r="B68" t="s">
        <v>173</v>
      </c>
      <c r="C68" t="s">
        <v>534</v>
      </c>
      <c r="D68" t="s">
        <v>174</v>
      </c>
      <c r="E68">
        <v>10</v>
      </c>
      <c r="F68">
        <v>17</v>
      </c>
      <c r="G68">
        <v>27</v>
      </c>
      <c r="H68">
        <v>6</v>
      </c>
      <c r="I68">
        <v>27</v>
      </c>
      <c r="J68">
        <v>25</v>
      </c>
      <c r="K68">
        <v>7</v>
      </c>
    </row>
    <row r="69" spans="1:11" x14ac:dyDescent="0.15">
      <c r="A69" s="12">
        <f>表紙!AP122</f>
        <v>22801</v>
      </c>
      <c r="B69" t="s">
        <v>175</v>
      </c>
      <c r="C69" t="s">
        <v>451</v>
      </c>
      <c r="D69" t="s">
        <v>121</v>
      </c>
      <c r="E69">
        <v>8</v>
      </c>
      <c r="F69">
        <v>15</v>
      </c>
      <c r="G69">
        <v>23</v>
      </c>
      <c r="H69">
        <v>3</v>
      </c>
      <c r="I69">
        <v>15</v>
      </c>
      <c r="J69">
        <v>23</v>
      </c>
      <c r="K69">
        <v>5</v>
      </c>
    </row>
    <row r="70" spans="1:11" x14ac:dyDescent="0.15">
      <c r="A70" s="12">
        <f>表紙!AP123</f>
        <v>22901</v>
      </c>
      <c r="B70" t="s">
        <v>176</v>
      </c>
      <c r="C70" t="s">
        <v>535</v>
      </c>
      <c r="D70" t="s">
        <v>177</v>
      </c>
      <c r="E70">
        <v>10</v>
      </c>
      <c r="F70">
        <v>10</v>
      </c>
      <c r="G70">
        <v>20</v>
      </c>
      <c r="H70">
        <v>2</v>
      </c>
      <c r="I70">
        <v>15</v>
      </c>
      <c r="J70">
        <v>22</v>
      </c>
      <c r="K70">
        <v>6</v>
      </c>
    </row>
    <row r="71" spans="1:11" x14ac:dyDescent="0.15">
      <c r="A71" s="12">
        <f>表紙!AP124</f>
        <v>22902</v>
      </c>
      <c r="B71" t="s">
        <v>178</v>
      </c>
      <c r="C71" t="s">
        <v>536</v>
      </c>
      <c r="D71" t="s">
        <v>181</v>
      </c>
      <c r="E71">
        <v>10</v>
      </c>
      <c r="F71">
        <v>3</v>
      </c>
      <c r="G71">
        <v>13</v>
      </c>
      <c r="H71">
        <v>2</v>
      </c>
      <c r="I71">
        <v>15</v>
      </c>
      <c r="J71">
        <v>16</v>
      </c>
      <c r="K71">
        <v>5</v>
      </c>
    </row>
    <row r="72" spans="1:11" x14ac:dyDescent="0.15">
      <c r="A72" s="12">
        <f>表紙!AP125</f>
        <v>23001</v>
      </c>
      <c r="B72" t="s">
        <v>179</v>
      </c>
      <c r="C72" t="s">
        <v>452</v>
      </c>
      <c r="D72" t="s">
        <v>120</v>
      </c>
      <c r="E72">
        <v>12</v>
      </c>
      <c r="F72">
        <v>10</v>
      </c>
      <c r="G72">
        <v>22</v>
      </c>
      <c r="H72">
        <v>6</v>
      </c>
      <c r="I72" s="54">
        <v>15</v>
      </c>
      <c r="J72" s="54">
        <v>22</v>
      </c>
      <c r="K72" s="54">
        <v>7</v>
      </c>
    </row>
    <row r="73" spans="1:11" x14ac:dyDescent="0.15">
      <c r="A73" s="12">
        <f>表紙!AP126</f>
        <v>23002</v>
      </c>
      <c r="B73" t="s">
        <v>180</v>
      </c>
      <c r="C73" t="s">
        <v>453</v>
      </c>
      <c r="D73" t="s">
        <v>120</v>
      </c>
      <c r="E73">
        <v>12</v>
      </c>
      <c r="F73">
        <v>10</v>
      </c>
      <c r="G73">
        <v>22</v>
      </c>
      <c r="H73" s="54">
        <v>4</v>
      </c>
      <c r="I73" s="54">
        <v>12</v>
      </c>
      <c r="J73" s="54">
        <v>22</v>
      </c>
      <c r="K73" s="54">
        <v>6</v>
      </c>
    </row>
    <row r="74" spans="1:11" x14ac:dyDescent="0.15">
      <c r="A74" s="12">
        <f>表紙!AP127</f>
        <v>23101</v>
      </c>
      <c r="B74" t="s">
        <v>182</v>
      </c>
      <c r="C74" t="s">
        <v>537</v>
      </c>
      <c r="D74" t="s">
        <v>120</v>
      </c>
      <c r="E74">
        <v>12</v>
      </c>
      <c r="F74">
        <v>10</v>
      </c>
      <c r="G74">
        <v>22</v>
      </c>
      <c r="H74">
        <v>2</v>
      </c>
      <c r="I74">
        <v>7</v>
      </c>
      <c r="J74">
        <v>16</v>
      </c>
      <c r="K74">
        <v>4</v>
      </c>
    </row>
    <row r="75" spans="1:11" x14ac:dyDescent="0.15">
      <c r="A75" s="12">
        <f>表紙!AP128</f>
        <v>23102</v>
      </c>
      <c r="B75" t="s">
        <v>182</v>
      </c>
      <c r="C75" t="s">
        <v>454</v>
      </c>
      <c r="D75" t="s">
        <v>120</v>
      </c>
      <c r="E75">
        <v>6</v>
      </c>
      <c r="F75">
        <v>10</v>
      </c>
      <c r="G75">
        <v>16</v>
      </c>
      <c r="H75">
        <v>2</v>
      </c>
      <c r="I75">
        <v>5</v>
      </c>
      <c r="J75">
        <v>14</v>
      </c>
      <c r="K75">
        <v>4</v>
      </c>
    </row>
    <row r="76" spans="1:11" x14ac:dyDescent="0.15">
      <c r="A76" s="12">
        <f>表紙!AP129</f>
        <v>23201</v>
      </c>
      <c r="B76" t="s">
        <v>62</v>
      </c>
      <c r="C76" t="s">
        <v>455</v>
      </c>
      <c r="D76" t="s">
        <v>120</v>
      </c>
      <c r="E76">
        <v>6</v>
      </c>
      <c r="F76">
        <v>0</v>
      </c>
      <c r="G76">
        <v>6</v>
      </c>
      <c r="H76">
        <v>2</v>
      </c>
      <c r="I76">
        <v>7</v>
      </c>
      <c r="J76">
        <v>12</v>
      </c>
      <c r="K76">
        <v>3</v>
      </c>
    </row>
    <row r="77" spans="1:11" x14ac:dyDescent="0.15">
      <c r="A77" s="12">
        <f>表紙!AP130</f>
        <v>23202</v>
      </c>
      <c r="B77" t="s">
        <v>62</v>
      </c>
      <c r="C77" t="s">
        <v>456</v>
      </c>
      <c r="D77" t="s">
        <v>126</v>
      </c>
      <c r="E77">
        <v>3</v>
      </c>
      <c r="F77">
        <v>3</v>
      </c>
      <c r="G77">
        <v>6</v>
      </c>
      <c r="H77">
        <v>2</v>
      </c>
      <c r="I77">
        <v>8</v>
      </c>
      <c r="J77">
        <v>13</v>
      </c>
      <c r="K77">
        <v>3</v>
      </c>
    </row>
    <row r="78" spans="1:11" x14ac:dyDescent="0.15">
      <c r="A78" s="12">
        <f>表紙!AP131</f>
        <v>23301</v>
      </c>
      <c r="B78" t="s">
        <v>63</v>
      </c>
      <c r="C78" t="s">
        <v>457</v>
      </c>
      <c r="D78" t="s">
        <v>126</v>
      </c>
      <c r="E78">
        <v>15</v>
      </c>
      <c r="F78">
        <v>5</v>
      </c>
      <c r="G78">
        <v>20</v>
      </c>
      <c r="H78">
        <v>1</v>
      </c>
      <c r="I78">
        <v>14</v>
      </c>
      <c r="J78" s="54">
        <v>20</v>
      </c>
      <c r="K78" s="54">
        <v>5</v>
      </c>
    </row>
    <row r="79" spans="1:11" x14ac:dyDescent="0.15">
      <c r="A79" s="12">
        <f>表紙!AP132</f>
        <v>23401</v>
      </c>
      <c r="B79" t="s">
        <v>72</v>
      </c>
      <c r="C79" t="s">
        <v>458</v>
      </c>
      <c r="D79" t="s">
        <v>120</v>
      </c>
      <c r="E79">
        <v>12</v>
      </c>
      <c r="F79">
        <v>6</v>
      </c>
      <c r="G79" s="54">
        <v>18</v>
      </c>
      <c r="H79" s="54">
        <v>4</v>
      </c>
      <c r="I79" s="54">
        <v>18</v>
      </c>
      <c r="J79" s="54">
        <v>19</v>
      </c>
      <c r="K79" s="54">
        <v>5</v>
      </c>
    </row>
    <row r="80" spans="1:11" x14ac:dyDescent="0.15">
      <c r="A80" s="12">
        <f>表紙!AP133</f>
        <v>23501</v>
      </c>
      <c r="B80" t="s">
        <v>183</v>
      </c>
      <c r="C80" t="s">
        <v>459</v>
      </c>
      <c r="D80" t="s">
        <v>184</v>
      </c>
      <c r="E80">
        <v>7</v>
      </c>
      <c r="F80">
        <v>8</v>
      </c>
      <c r="G80">
        <v>15</v>
      </c>
      <c r="H80">
        <v>3</v>
      </c>
      <c r="I80">
        <v>15</v>
      </c>
      <c r="J80">
        <v>13</v>
      </c>
      <c r="K80">
        <v>4</v>
      </c>
    </row>
    <row r="81" spans="1:11" x14ac:dyDescent="0.15">
      <c r="A81" s="12">
        <f>表紙!AP134</f>
        <v>23601</v>
      </c>
      <c r="B81" t="s">
        <v>186</v>
      </c>
      <c r="C81" t="s">
        <v>538</v>
      </c>
      <c r="D81" t="s">
        <v>126</v>
      </c>
      <c r="E81">
        <v>10</v>
      </c>
      <c r="F81">
        <v>4</v>
      </c>
      <c r="G81">
        <v>14</v>
      </c>
      <c r="H81">
        <v>3</v>
      </c>
      <c r="I81">
        <v>14</v>
      </c>
      <c r="J81">
        <v>13</v>
      </c>
      <c r="K81">
        <v>4</v>
      </c>
    </row>
    <row r="82" spans="1:11" x14ac:dyDescent="0.15">
      <c r="A82" s="12">
        <f>表紙!AP135</f>
        <v>23701</v>
      </c>
      <c r="B82" t="s">
        <v>187</v>
      </c>
      <c r="C82" t="s">
        <v>539</v>
      </c>
      <c r="D82" t="s">
        <v>188</v>
      </c>
      <c r="E82">
        <v>12</v>
      </c>
      <c r="F82">
        <v>3</v>
      </c>
      <c r="G82">
        <v>15</v>
      </c>
      <c r="H82">
        <v>3</v>
      </c>
      <c r="I82">
        <v>6</v>
      </c>
      <c r="J82">
        <v>4</v>
      </c>
      <c r="K82">
        <v>1</v>
      </c>
    </row>
    <row r="83" spans="1:11" x14ac:dyDescent="0.15">
      <c r="A83" s="12">
        <f>表紙!AP136</f>
        <v>23801</v>
      </c>
      <c r="B83" t="s">
        <v>197</v>
      </c>
      <c r="C83" t="s">
        <v>596</v>
      </c>
      <c r="D83" t="s">
        <v>177</v>
      </c>
      <c r="E83">
        <v>10</v>
      </c>
      <c r="G83">
        <v>10</v>
      </c>
      <c r="H83">
        <v>1</v>
      </c>
      <c r="I83">
        <v>4</v>
      </c>
      <c r="J83">
        <v>14</v>
      </c>
      <c r="K83">
        <v>3</v>
      </c>
    </row>
    <row r="84" spans="1:11" x14ac:dyDescent="0.15">
      <c r="A84" s="12">
        <f>表紙!AP137</f>
        <v>23802</v>
      </c>
      <c r="B84" t="s">
        <v>198</v>
      </c>
      <c r="C84" t="s">
        <v>598</v>
      </c>
      <c r="D84" t="s">
        <v>177</v>
      </c>
      <c r="E84">
        <v>10</v>
      </c>
      <c r="G84">
        <v>10</v>
      </c>
      <c r="H84">
        <v>2</v>
      </c>
      <c r="I84">
        <v>8</v>
      </c>
      <c r="J84">
        <v>11</v>
      </c>
      <c r="K84">
        <v>3</v>
      </c>
    </row>
    <row r="85" spans="1:11" x14ac:dyDescent="0.15">
      <c r="A85" s="12">
        <f>表紙!AP138</f>
        <v>23803</v>
      </c>
      <c r="B85" t="s">
        <v>185</v>
      </c>
      <c r="C85" t="s">
        <v>540</v>
      </c>
      <c r="D85" t="s">
        <v>184</v>
      </c>
      <c r="E85">
        <v>15</v>
      </c>
      <c r="F85">
        <v>0</v>
      </c>
      <c r="G85">
        <v>15</v>
      </c>
      <c r="H85">
        <v>1</v>
      </c>
      <c r="I85">
        <v>9</v>
      </c>
      <c r="J85">
        <v>16</v>
      </c>
      <c r="K85">
        <v>4</v>
      </c>
    </row>
    <row r="86" spans="1:11" x14ac:dyDescent="0.15">
      <c r="A86" s="12">
        <f>表紙!AP139</f>
        <v>23804</v>
      </c>
      <c r="B86" t="s">
        <v>185</v>
      </c>
      <c r="C86" t="s">
        <v>541</v>
      </c>
      <c r="D86" t="s">
        <v>184</v>
      </c>
      <c r="E86">
        <v>5</v>
      </c>
      <c r="F86">
        <v>8</v>
      </c>
      <c r="G86">
        <v>13</v>
      </c>
      <c r="H86">
        <v>1</v>
      </c>
      <c r="I86">
        <v>8</v>
      </c>
      <c r="J86">
        <v>15</v>
      </c>
      <c r="K86">
        <v>4</v>
      </c>
    </row>
    <row r="87" spans="1:11" x14ac:dyDescent="0.15">
      <c r="A87" s="12">
        <f>表紙!AP140</f>
        <v>23805</v>
      </c>
      <c r="B87" t="s">
        <v>189</v>
      </c>
      <c r="C87" t="s">
        <v>542</v>
      </c>
      <c r="D87" t="s">
        <v>120</v>
      </c>
      <c r="E87">
        <v>15</v>
      </c>
      <c r="G87">
        <v>15</v>
      </c>
      <c r="H87">
        <v>2</v>
      </c>
      <c r="I87">
        <v>6</v>
      </c>
      <c r="J87">
        <v>5</v>
      </c>
      <c r="K87">
        <v>1</v>
      </c>
    </row>
    <row r="88" spans="1:11" x14ac:dyDescent="0.15">
      <c r="A88" s="12">
        <f>表紙!AP141</f>
        <v>23806</v>
      </c>
      <c r="B88" t="s">
        <v>190</v>
      </c>
      <c r="C88" t="s">
        <v>543</v>
      </c>
      <c r="D88" t="s">
        <v>120</v>
      </c>
      <c r="E88">
        <v>9</v>
      </c>
      <c r="G88">
        <v>9</v>
      </c>
      <c r="H88">
        <v>2</v>
      </c>
      <c r="I88">
        <v>6</v>
      </c>
      <c r="J88">
        <v>4</v>
      </c>
      <c r="K88">
        <v>1</v>
      </c>
    </row>
    <row r="89" spans="1:11" x14ac:dyDescent="0.15">
      <c r="A89" s="12">
        <f>表紙!AP142</f>
        <v>23807</v>
      </c>
      <c r="B89" t="s">
        <v>191</v>
      </c>
      <c r="C89" t="s">
        <v>544</v>
      </c>
      <c r="D89" t="s">
        <v>120</v>
      </c>
      <c r="E89">
        <v>5</v>
      </c>
      <c r="G89">
        <v>5</v>
      </c>
      <c r="H89">
        <v>2</v>
      </c>
      <c r="I89">
        <v>5</v>
      </c>
      <c r="J89">
        <v>4</v>
      </c>
      <c r="K89">
        <v>1</v>
      </c>
    </row>
    <row r="90" spans="1:11" x14ac:dyDescent="0.15">
      <c r="A90" s="12">
        <f>表紙!AP143</f>
        <v>23808</v>
      </c>
      <c r="B90" t="s">
        <v>192</v>
      </c>
      <c r="C90" t="s">
        <v>545</v>
      </c>
      <c r="D90" t="s">
        <v>120</v>
      </c>
      <c r="E90">
        <v>3</v>
      </c>
      <c r="G90">
        <v>3</v>
      </c>
      <c r="H90">
        <v>2</v>
      </c>
      <c r="I90">
        <v>3</v>
      </c>
      <c r="J90">
        <v>4</v>
      </c>
      <c r="K90">
        <v>1</v>
      </c>
    </row>
    <row r="91" spans="1:11" x14ac:dyDescent="0.15">
      <c r="A91" s="12">
        <f>表紙!AP144</f>
        <v>23809</v>
      </c>
      <c r="B91" t="s">
        <v>193</v>
      </c>
      <c r="C91" t="s">
        <v>600</v>
      </c>
      <c r="D91" t="s">
        <v>194</v>
      </c>
      <c r="E91">
        <v>0</v>
      </c>
      <c r="G91">
        <v>0</v>
      </c>
      <c r="H91">
        <v>0</v>
      </c>
      <c r="I91">
        <v>0</v>
      </c>
      <c r="J91">
        <v>0</v>
      </c>
      <c r="K91">
        <v>0</v>
      </c>
    </row>
    <row r="92" spans="1:11" x14ac:dyDescent="0.15">
      <c r="A92" s="12">
        <f>表紙!AP145</f>
        <v>23810</v>
      </c>
      <c r="B92" t="s">
        <v>195</v>
      </c>
      <c r="C92" t="s">
        <v>602</v>
      </c>
      <c r="D92" t="s">
        <v>177</v>
      </c>
      <c r="E92">
        <v>12</v>
      </c>
      <c r="G92">
        <v>12</v>
      </c>
      <c r="H92">
        <v>1</v>
      </c>
      <c r="I92">
        <v>4</v>
      </c>
      <c r="J92">
        <v>16</v>
      </c>
      <c r="K92">
        <v>4</v>
      </c>
    </row>
    <row r="93" spans="1:11" x14ac:dyDescent="0.15">
      <c r="A93" s="12">
        <f>表紙!AP146</f>
        <v>23811</v>
      </c>
      <c r="B93" t="s">
        <v>195</v>
      </c>
      <c r="C93" t="s">
        <v>604</v>
      </c>
      <c r="D93" t="s">
        <v>172</v>
      </c>
      <c r="E93">
        <v>12</v>
      </c>
      <c r="G93">
        <v>12</v>
      </c>
      <c r="H93">
        <v>1</v>
      </c>
      <c r="I93">
        <v>4</v>
      </c>
      <c r="J93">
        <v>16</v>
      </c>
      <c r="K93">
        <v>4</v>
      </c>
    </row>
    <row r="94" spans="1:11" x14ac:dyDescent="0.15">
      <c r="A94" s="12">
        <f>表紙!AP147</f>
        <v>23812</v>
      </c>
      <c r="B94" t="s">
        <v>195</v>
      </c>
      <c r="C94" t="s">
        <v>606</v>
      </c>
      <c r="D94" t="s">
        <v>196</v>
      </c>
      <c r="E94">
        <v>7</v>
      </c>
      <c r="G94">
        <v>7</v>
      </c>
      <c r="H94">
        <v>4</v>
      </c>
      <c r="I94">
        <v>8</v>
      </c>
      <c r="J94">
        <v>8</v>
      </c>
      <c r="K94">
        <v>2</v>
      </c>
    </row>
    <row r="95" spans="1:11" x14ac:dyDescent="0.15">
      <c r="A95" s="12">
        <f>表紙!AP148</f>
        <v>30101</v>
      </c>
      <c r="B95" t="s">
        <v>200</v>
      </c>
      <c r="C95" t="s">
        <v>460</v>
      </c>
      <c r="D95" t="s">
        <v>177</v>
      </c>
      <c r="E95">
        <v>10</v>
      </c>
      <c r="G95">
        <v>10</v>
      </c>
      <c r="H95">
        <v>1</v>
      </c>
      <c r="I95">
        <v>4</v>
      </c>
      <c r="J95">
        <v>14</v>
      </c>
      <c r="K95">
        <v>3</v>
      </c>
    </row>
    <row r="96" spans="1:11" x14ac:dyDescent="0.15">
      <c r="A96" s="12">
        <f>表紙!AP149</f>
        <v>30102</v>
      </c>
      <c r="B96" t="s">
        <v>200</v>
      </c>
      <c r="C96" t="s">
        <v>461</v>
      </c>
      <c r="D96" t="s">
        <v>207</v>
      </c>
      <c r="E96">
        <v>12</v>
      </c>
      <c r="F96">
        <v>8</v>
      </c>
      <c r="G96">
        <v>20</v>
      </c>
      <c r="H96">
        <v>3</v>
      </c>
      <c r="I96">
        <v>13</v>
      </c>
      <c r="J96">
        <v>19</v>
      </c>
      <c r="K96">
        <v>5</v>
      </c>
    </row>
    <row r="97" spans="1:11" x14ac:dyDescent="0.15">
      <c r="A97" s="12">
        <f>表紙!AP150</f>
        <v>30103</v>
      </c>
      <c r="B97" t="s">
        <v>200</v>
      </c>
      <c r="C97" t="s">
        <v>406</v>
      </c>
      <c r="D97" t="s">
        <v>207</v>
      </c>
      <c r="E97">
        <v>12</v>
      </c>
      <c r="F97">
        <v>8</v>
      </c>
      <c r="G97">
        <v>20</v>
      </c>
      <c r="H97">
        <v>6</v>
      </c>
      <c r="I97">
        <v>20</v>
      </c>
      <c r="J97">
        <v>16</v>
      </c>
      <c r="K97">
        <v>5</v>
      </c>
    </row>
    <row r="98" spans="1:11" x14ac:dyDescent="0.15">
      <c r="A98" s="12">
        <f>表紙!AP151</f>
        <v>30104</v>
      </c>
      <c r="B98" t="s">
        <v>200</v>
      </c>
      <c r="C98" t="s">
        <v>462</v>
      </c>
      <c r="D98" t="s">
        <v>207</v>
      </c>
      <c r="E98">
        <v>10</v>
      </c>
      <c r="F98">
        <v>5</v>
      </c>
      <c r="G98">
        <v>15</v>
      </c>
      <c r="H98">
        <v>4</v>
      </c>
      <c r="I98">
        <v>15</v>
      </c>
      <c r="J98">
        <v>12</v>
      </c>
      <c r="K98">
        <v>4</v>
      </c>
    </row>
    <row r="99" spans="1:11" x14ac:dyDescent="0.15">
      <c r="A99" s="12">
        <f>表紙!AP152</f>
        <v>30105</v>
      </c>
      <c r="B99" t="s">
        <v>200</v>
      </c>
      <c r="C99" t="s">
        <v>463</v>
      </c>
      <c r="D99" t="s">
        <v>207</v>
      </c>
      <c r="E99">
        <v>10</v>
      </c>
      <c r="F99">
        <v>5</v>
      </c>
      <c r="G99">
        <v>15</v>
      </c>
      <c r="H99">
        <v>7</v>
      </c>
      <c r="I99">
        <v>15</v>
      </c>
      <c r="J99">
        <v>8</v>
      </c>
      <c r="K99">
        <v>4</v>
      </c>
    </row>
    <row r="100" spans="1:11" x14ac:dyDescent="0.15">
      <c r="A100" s="12">
        <f>表紙!AP153</f>
        <v>30201</v>
      </c>
      <c r="B100" t="s">
        <v>201</v>
      </c>
      <c r="C100" t="s">
        <v>464</v>
      </c>
      <c r="D100" t="s">
        <v>207</v>
      </c>
      <c r="E100">
        <v>14</v>
      </c>
      <c r="F100">
        <v>6</v>
      </c>
      <c r="G100">
        <v>20</v>
      </c>
      <c r="H100">
        <v>6</v>
      </c>
      <c r="I100">
        <v>20</v>
      </c>
      <c r="J100">
        <v>13</v>
      </c>
      <c r="K100">
        <v>4</v>
      </c>
    </row>
    <row r="101" spans="1:11" x14ac:dyDescent="0.15">
      <c r="A101" s="12">
        <f>表紙!AP154</f>
        <v>30202</v>
      </c>
      <c r="B101" t="s">
        <v>202</v>
      </c>
      <c r="C101" t="s">
        <v>465</v>
      </c>
      <c r="D101" t="s">
        <v>207</v>
      </c>
      <c r="E101">
        <v>12</v>
      </c>
      <c r="F101">
        <v>0</v>
      </c>
      <c r="G101">
        <v>12</v>
      </c>
      <c r="H101">
        <v>5</v>
      </c>
      <c r="I101">
        <v>12</v>
      </c>
      <c r="J101">
        <v>15</v>
      </c>
      <c r="K101">
        <v>5</v>
      </c>
    </row>
    <row r="102" spans="1:11" x14ac:dyDescent="0.15">
      <c r="A102" s="12">
        <f>表紙!AP155</f>
        <v>30203</v>
      </c>
      <c r="B102" t="s">
        <v>202</v>
      </c>
      <c r="C102" t="s">
        <v>466</v>
      </c>
      <c r="D102" t="s">
        <v>207</v>
      </c>
      <c r="E102">
        <v>10</v>
      </c>
      <c r="F102">
        <v>2</v>
      </c>
      <c r="G102">
        <v>12</v>
      </c>
      <c r="H102">
        <v>5</v>
      </c>
      <c r="I102">
        <v>12</v>
      </c>
      <c r="J102">
        <v>10</v>
      </c>
      <c r="K102">
        <v>3</v>
      </c>
    </row>
    <row r="103" spans="1:11" x14ac:dyDescent="0.15">
      <c r="A103" s="12">
        <f>表紙!AP156</f>
        <v>30301</v>
      </c>
      <c r="B103" t="s">
        <v>203</v>
      </c>
      <c r="C103" t="s">
        <v>467</v>
      </c>
      <c r="D103" t="s">
        <v>207</v>
      </c>
      <c r="E103">
        <v>20</v>
      </c>
      <c r="F103">
        <v>10</v>
      </c>
      <c r="G103">
        <v>30</v>
      </c>
      <c r="H103">
        <v>2</v>
      </c>
      <c r="I103">
        <v>30</v>
      </c>
      <c r="J103">
        <v>25</v>
      </c>
      <c r="K103">
        <v>6</v>
      </c>
    </row>
    <row r="104" spans="1:11" x14ac:dyDescent="0.15">
      <c r="A104" s="12">
        <f>表紙!AP157</f>
        <v>30302</v>
      </c>
      <c r="B104" t="s">
        <v>204</v>
      </c>
      <c r="C104" t="s">
        <v>468</v>
      </c>
      <c r="D104" t="s">
        <v>207</v>
      </c>
      <c r="E104">
        <v>20</v>
      </c>
      <c r="F104">
        <v>10</v>
      </c>
      <c r="G104">
        <v>30</v>
      </c>
      <c r="H104">
        <v>3</v>
      </c>
      <c r="I104">
        <v>30</v>
      </c>
      <c r="J104">
        <v>13</v>
      </c>
      <c r="K104">
        <v>3</v>
      </c>
    </row>
    <row r="105" spans="1:11" x14ac:dyDescent="0.15">
      <c r="A105" s="12">
        <f>表紙!AP158</f>
        <v>30401</v>
      </c>
      <c r="B105" t="s">
        <v>204</v>
      </c>
      <c r="C105" t="s">
        <v>469</v>
      </c>
      <c r="D105" t="s">
        <v>207</v>
      </c>
      <c r="E105">
        <v>15</v>
      </c>
      <c r="F105">
        <v>10</v>
      </c>
      <c r="G105">
        <v>25</v>
      </c>
      <c r="H105">
        <v>2</v>
      </c>
      <c r="I105">
        <v>25</v>
      </c>
      <c r="J105">
        <v>21</v>
      </c>
      <c r="K105">
        <v>5</v>
      </c>
    </row>
    <row r="106" spans="1:11" x14ac:dyDescent="0.15">
      <c r="A106" s="12">
        <f>表紙!AP159</f>
        <v>30501</v>
      </c>
      <c r="B106" t="s">
        <v>86</v>
      </c>
      <c r="C106" t="s">
        <v>546</v>
      </c>
      <c r="D106" t="s">
        <v>207</v>
      </c>
      <c r="E106">
        <v>10</v>
      </c>
      <c r="G106">
        <v>10</v>
      </c>
      <c r="H106">
        <v>3</v>
      </c>
      <c r="I106">
        <v>10</v>
      </c>
      <c r="J106">
        <v>5</v>
      </c>
      <c r="K106">
        <v>3</v>
      </c>
    </row>
    <row r="107" spans="1:11" x14ac:dyDescent="0.15">
      <c r="A107" s="12">
        <f>表紙!AP160</f>
        <v>30601</v>
      </c>
      <c r="B107" t="s">
        <v>87</v>
      </c>
      <c r="C107" t="s">
        <v>470</v>
      </c>
      <c r="D107" t="s">
        <v>207</v>
      </c>
      <c r="E107">
        <v>6</v>
      </c>
      <c r="F107">
        <v>2</v>
      </c>
      <c r="G107">
        <v>8</v>
      </c>
      <c r="H107">
        <v>12</v>
      </c>
      <c r="I107">
        <v>8</v>
      </c>
      <c r="J107">
        <v>6</v>
      </c>
      <c r="K107">
        <v>12</v>
      </c>
    </row>
    <row r="108" spans="1:11" x14ac:dyDescent="0.15">
      <c r="A108" s="12">
        <f>表紙!AP161</f>
        <v>30602</v>
      </c>
      <c r="B108" t="s">
        <v>87</v>
      </c>
      <c r="C108" t="s">
        <v>471</v>
      </c>
      <c r="D108" t="s">
        <v>207</v>
      </c>
      <c r="E108">
        <v>15</v>
      </c>
      <c r="F108">
        <v>4</v>
      </c>
      <c r="G108">
        <v>19</v>
      </c>
      <c r="H108">
        <v>8</v>
      </c>
      <c r="I108">
        <v>16</v>
      </c>
      <c r="J108">
        <v>7</v>
      </c>
      <c r="K108">
        <v>8</v>
      </c>
    </row>
    <row r="109" spans="1:11" x14ac:dyDescent="0.15">
      <c r="A109" s="12">
        <f>表紙!AP162</f>
        <v>30701</v>
      </c>
      <c r="B109" t="s">
        <v>205</v>
      </c>
      <c r="C109" t="s">
        <v>547</v>
      </c>
      <c r="D109" t="s">
        <v>207</v>
      </c>
      <c r="E109">
        <v>15</v>
      </c>
      <c r="F109">
        <v>3</v>
      </c>
      <c r="G109">
        <v>18</v>
      </c>
      <c r="H109">
        <v>8</v>
      </c>
      <c r="I109">
        <v>18</v>
      </c>
      <c r="J109">
        <v>24</v>
      </c>
      <c r="K109">
        <v>5</v>
      </c>
    </row>
    <row r="110" spans="1:11" x14ac:dyDescent="0.15">
      <c r="A110" s="12">
        <f>表紙!AP163</f>
        <v>30801</v>
      </c>
      <c r="B110" t="s">
        <v>206</v>
      </c>
      <c r="C110" t="s">
        <v>548</v>
      </c>
      <c r="D110" t="s">
        <v>207</v>
      </c>
      <c r="E110">
        <v>20</v>
      </c>
      <c r="F110">
        <v>40</v>
      </c>
      <c r="G110">
        <v>60</v>
      </c>
      <c r="H110">
        <v>10</v>
      </c>
      <c r="I110">
        <v>48</v>
      </c>
      <c r="J110">
        <v>30</v>
      </c>
      <c r="K110">
        <v>9</v>
      </c>
    </row>
    <row r="111" spans="1:11" x14ac:dyDescent="0.15">
      <c r="A111" s="12">
        <f>表紙!AP164</f>
        <v>30901</v>
      </c>
      <c r="B111" t="s">
        <v>208</v>
      </c>
      <c r="C111" t="s">
        <v>549</v>
      </c>
      <c r="D111" t="s">
        <v>123</v>
      </c>
      <c r="E111">
        <v>6</v>
      </c>
      <c r="F111">
        <v>3</v>
      </c>
      <c r="G111">
        <v>9</v>
      </c>
      <c r="H111">
        <v>5</v>
      </c>
      <c r="I111">
        <v>9</v>
      </c>
      <c r="J111">
        <v>10</v>
      </c>
      <c r="K111">
        <v>3</v>
      </c>
    </row>
    <row r="112" spans="1:11" x14ac:dyDescent="0.15">
      <c r="A112" s="12">
        <f>表紙!AP165</f>
        <v>31001</v>
      </c>
      <c r="B112" t="s">
        <v>209</v>
      </c>
      <c r="C112" t="s">
        <v>472</v>
      </c>
      <c r="D112" t="s">
        <v>207</v>
      </c>
      <c r="E112">
        <v>15</v>
      </c>
      <c r="F112">
        <v>0</v>
      </c>
      <c r="G112">
        <v>15</v>
      </c>
      <c r="H112">
        <v>6</v>
      </c>
      <c r="I112">
        <v>15</v>
      </c>
      <c r="J112">
        <v>14</v>
      </c>
      <c r="K112">
        <v>6</v>
      </c>
    </row>
    <row r="113" spans="1:12" x14ac:dyDescent="0.15">
      <c r="A113" s="12">
        <f>表紙!AP166</f>
        <v>31002</v>
      </c>
      <c r="B113" t="s">
        <v>209</v>
      </c>
      <c r="C113" t="s">
        <v>473</v>
      </c>
      <c r="D113" t="s">
        <v>207</v>
      </c>
      <c r="E113">
        <v>6</v>
      </c>
      <c r="F113">
        <v>0</v>
      </c>
      <c r="G113">
        <v>6</v>
      </c>
      <c r="H113">
        <v>5</v>
      </c>
      <c r="I113">
        <v>6</v>
      </c>
      <c r="J113">
        <v>10</v>
      </c>
      <c r="K113">
        <v>4</v>
      </c>
    </row>
    <row r="114" spans="1:12" x14ac:dyDescent="0.15">
      <c r="A114" s="12">
        <f>表紙!AP167</f>
        <v>31101</v>
      </c>
      <c r="B114" t="s">
        <v>210</v>
      </c>
      <c r="C114" t="s">
        <v>474</v>
      </c>
      <c r="D114" t="s">
        <v>207</v>
      </c>
      <c r="E114">
        <v>15</v>
      </c>
      <c r="F114">
        <v>4</v>
      </c>
      <c r="G114">
        <v>19</v>
      </c>
      <c r="H114">
        <v>3</v>
      </c>
      <c r="I114">
        <v>12</v>
      </c>
      <c r="J114">
        <v>23</v>
      </c>
      <c r="K114">
        <v>5</v>
      </c>
    </row>
    <row r="115" spans="1:12" x14ac:dyDescent="0.15">
      <c r="A115" s="12">
        <f>表紙!AP168</f>
        <v>40101</v>
      </c>
      <c r="B115" t="s">
        <v>211</v>
      </c>
      <c r="C115" t="s">
        <v>475</v>
      </c>
      <c r="D115" t="s">
        <v>123</v>
      </c>
      <c r="E115">
        <v>7</v>
      </c>
      <c r="F115">
        <v>3</v>
      </c>
      <c r="G115">
        <v>10</v>
      </c>
      <c r="H115">
        <v>1</v>
      </c>
      <c r="I115">
        <v>8</v>
      </c>
      <c r="J115">
        <v>36</v>
      </c>
      <c r="K115">
        <v>9</v>
      </c>
      <c r="L115" t="s">
        <v>212</v>
      </c>
    </row>
    <row r="116" spans="1:12" x14ac:dyDescent="0.15">
      <c r="A116" s="12">
        <f>表紙!AP169</f>
        <v>40102</v>
      </c>
      <c r="B116" t="s">
        <v>211</v>
      </c>
      <c r="C116" t="s">
        <v>476</v>
      </c>
      <c r="D116" t="s">
        <v>123</v>
      </c>
      <c r="E116">
        <v>10</v>
      </c>
      <c r="F116">
        <v>5</v>
      </c>
      <c r="G116">
        <v>15</v>
      </c>
      <c r="H116">
        <v>1</v>
      </c>
      <c r="I116">
        <v>9</v>
      </c>
      <c r="J116">
        <v>40</v>
      </c>
      <c r="K116">
        <v>10</v>
      </c>
      <c r="L116" t="s">
        <v>212</v>
      </c>
    </row>
    <row r="117" spans="1:12" x14ac:dyDescent="0.15">
      <c r="A117" s="12">
        <f>表紙!AP170</f>
        <v>40103</v>
      </c>
      <c r="B117" t="s">
        <v>211</v>
      </c>
      <c r="C117" t="s">
        <v>477</v>
      </c>
      <c r="D117" t="s">
        <v>123</v>
      </c>
      <c r="E117">
        <v>3</v>
      </c>
      <c r="F117">
        <v>0</v>
      </c>
      <c r="G117">
        <v>3</v>
      </c>
      <c r="H117">
        <v>1</v>
      </c>
      <c r="I117">
        <v>2</v>
      </c>
      <c r="J117">
        <v>14</v>
      </c>
      <c r="K117">
        <v>3</v>
      </c>
      <c r="L117" t="s">
        <v>213</v>
      </c>
    </row>
    <row r="118" spans="1:12" x14ac:dyDescent="0.15">
      <c r="A118" s="12">
        <f>表紙!AP171</f>
        <v>40104</v>
      </c>
      <c r="B118" t="s">
        <v>211</v>
      </c>
      <c r="C118" t="s">
        <v>478</v>
      </c>
      <c r="D118" t="s">
        <v>123</v>
      </c>
      <c r="E118">
        <v>5</v>
      </c>
      <c r="F118">
        <v>0</v>
      </c>
      <c r="G118">
        <v>5</v>
      </c>
      <c r="H118">
        <v>1</v>
      </c>
      <c r="I118">
        <v>3</v>
      </c>
      <c r="J118">
        <v>22</v>
      </c>
      <c r="K118">
        <v>5</v>
      </c>
      <c r="L118" t="s">
        <v>213</v>
      </c>
    </row>
    <row r="119" spans="1:12" x14ac:dyDescent="0.15">
      <c r="A119" s="12">
        <f>表紙!AP172</f>
        <v>40105</v>
      </c>
      <c r="B119" t="s">
        <v>211</v>
      </c>
      <c r="C119" t="s">
        <v>479</v>
      </c>
      <c r="D119" t="s">
        <v>123</v>
      </c>
      <c r="E119">
        <v>7</v>
      </c>
      <c r="F119">
        <v>3</v>
      </c>
      <c r="G119">
        <v>10</v>
      </c>
      <c r="H119">
        <v>1</v>
      </c>
      <c r="I119">
        <v>5</v>
      </c>
      <c r="J119">
        <v>33</v>
      </c>
      <c r="K119">
        <v>8</v>
      </c>
      <c r="L119" t="s">
        <v>213</v>
      </c>
    </row>
    <row r="120" spans="1:12" x14ac:dyDescent="0.15">
      <c r="A120" s="12">
        <f>表紙!AP173</f>
        <v>40106</v>
      </c>
      <c r="B120" t="s">
        <v>211</v>
      </c>
      <c r="C120" t="s">
        <v>480</v>
      </c>
      <c r="D120" t="s">
        <v>123</v>
      </c>
      <c r="E120">
        <v>10</v>
      </c>
      <c r="F120">
        <v>5</v>
      </c>
      <c r="G120">
        <v>15</v>
      </c>
      <c r="H120">
        <v>1</v>
      </c>
      <c r="I120">
        <v>9</v>
      </c>
      <c r="J120">
        <v>40</v>
      </c>
      <c r="K120">
        <v>10</v>
      </c>
      <c r="L120" t="s">
        <v>213</v>
      </c>
    </row>
    <row r="121" spans="1:12" x14ac:dyDescent="0.15">
      <c r="A121" s="12">
        <f>表紙!AP174</f>
        <v>40201</v>
      </c>
      <c r="B121" t="s">
        <v>214</v>
      </c>
      <c r="C121" t="s">
        <v>481</v>
      </c>
      <c r="E121" t="s">
        <v>131</v>
      </c>
      <c r="F121" t="s">
        <v>131</v>
      </c>
      <c r="G121" t="s">
        <v>116</v>
      </c>
      <c r="H121">
        <v>1</v>
      </c>
      <c r="I121">
        <v>2</v>
      </c>
      <c r="J121">
        <v>13</v>
      </c>
      <c r="K121">
        <v>3</v>
      </c>
    </row>
    <row r="122" spans="1:12" x14ac:dyDescent="0.15">
      <c r="A122" s="12">
        <f>表紙!AP175</f>
        <v>40202</v>
      </c>
      <c r="B122" t="s">
        <v>214</v>
      </c>
      <c r="C122" t="s">
        <v>482</v>
      </c>
      <c r="E122" t="s">
        <v>132</v>
      </c>
      <c r="F122" t="s">
        <v>220</v>
      </c>
      <c r="G122" t="s">
        <v>221</v>
      </c>
      <c r="H122">
        <v>1</v>
      </c>
      <c r="I122">
        <v>4</v>
      </c>
      <c r="J122">
        <v>24</v>
      </c>
      <c r="K122">
        <v>6</v>
      </c>
    </row>
    <row r="123" spans="1:12" x14ac:dyDescent="0.15">
      <c r="A123" s="12">
        <f>表紙!AP176</f>
        <v>40203</v>
      </c>
      <c r="B123" t="s">
        <v>214</v>
      </c>
      <c r="C123" t="s">
        <v>483</v>
      </c>
      <c r="E123" t="s">
        <v>222</v>
      </c>
      <c r="F123" t="s">
        <v>223</v>
      </c>
      <c r="G123" t="s">
        <v>224</v>
      </c>
      <c r="H123">
        <v>1</v>
      </c>
      <c r="I123">
        <v>7</v>
      </c>
      <c r="J123">
        <v>41</v>
      </c>
      <c r="K123">
        <v>10</v>
      </c>
    </row>
    <row r="124" spans="1:12" x14ac:dyDescent="0.15">
      <c r="A124" s="12">
        <f>表紙!AP177</f>
        <v>40204</v>
      </c>
      <c r="B124" t="s">
        <v>214</v>
      </c>
      <c r="C124" t="s">
        <v>484</v>
      </c>
      <c r="E124">
        <v>10</v>
      </c>
      <c r="F124">
        <v>5</v>
      </c>
      <c r="G124">
        <v>15</v>
      </c>
      <c r="H124">
        <v>1</v>
      </c>
      <c r="I124">
        <v>8</v>
      </c>
      <c r="J124">
        <v>44</v>
      </c>
      <c r="K124">
        <v>11</v>
      </c>
    </row>
    <row r="125" spans="1:12" x14ac:dyDescent="0.15">
      <c r="A125" s="12">
        <f>表紙!AP178</f>
        <v>40205</v>
      </c>
      <c r="B125" t="s">
        <v>214</v>
      </c>
      <c r="C125" t="s">
        <v>485</v>
      </c>
      <c r="E125" t="s">
        <v>131</v>
      </c>
      <c r="F125" t="s">
        <v>131</v>
      </c>
      <c r="G125" t="s">
        <v>116</v>
      </c>
      <c r="H125">
        <v>1</v>
      </c>
      <c r="I125">
        <v>2</v>
      </c>
      <c r="J125">
        <v>13</v>
      </c>
      <c r="K125">
        <v>3</v>
      </c>
    </row>
    <row r="126" spans="1:12" x14ac:dyDescent="0.15">
      <c r="A126" s="12">
        <f>表紙!AP179</f>
        <v>40206</v>
      </c>
      <c r="B126" t="s">
        <v>214</v>
      </c>
      <c r="C126" t="s">
        <v>486</v>
      </c>
      <c r="E126" t="s">
        <v>132</v>
      </c>
      <c r="F126" t="s">
        <v>220</v>
      </c>
      <c r="G126" t="s">
        <v>221</v>
      </c>
      <c r="H126">
        <v>1</v>
      </c>
      <c r="I126">
        <v>4</v>
      </c>
      <c r="J126">
        <v>24</v>
      </c>
      <c r="K126">
        <v>6</v>
      </c>
    </row>
    <row r="127" spans="1:12" x14ac:dyDescent="0.15">
      <c r="A127" s="12">
        <f>表紙!AP180</f>
        <v>40207</v>
      </c>
      <c r="B127" t="s">
        <v>214</v>
      </c>
      <c r="C127" t="s">
        <v>487</v>
      </c>
      <c r="E127" t="s">
        <v>222</v>
      </c>
      <c r="F127" t="s">
        <v>223</v>
      </c>
      <c r="G127" t="s">
        <v>224</v>
      </c>
      <c r="H127">
        <v>1</v>
      </c>
      <c r="I127">
        <v>7</v>
      </c>
      <c r="J127">
        <v>41</v>
      </c>
      <c r="K127">
        <v>10</v>
      </c>
    </row>
    <row r="128" spans="1:12" x14ac:dyDescent="0.15">
      <c r="A128" s="12">
        <f>表紙!AP181</f>
        <v>40208</v>
      </c>
      <c r="B128" t="s">
        <v>214</v>
      </c>
      <c r="C128" t="s">
        <v>488</v>
      </c>
      <c r="E128">
        <v>10</v>
      </c>
      <c r="F128">
        <v>5</v>
      </c>
      <c r="G128">
        <v>15</v>
      </c>
      <c r="H128">
        <v>1</v>
      </c>
      <c r="I128">
        <v>8</v>
      </c>
      <c r="J128">
        <v>44</v>
      </c>
      <c r="K128">
        <v>11</v>
      </c>
    </row>
    <row r="129" spans="1:12" x14ac:dyDescent="0.15">
      <c r="A129" s="12">
        <f>表紙!AP182</f>
        <v>40209</v>
      </c>
      <c r="B129" t="s">
        <v>214</v>
      </c>
      <c r="C129" t="s">
        <v>489</v>
      </c>
      <c r="E129" t="s">
        <v>131</v>
      </c>
      <c r="F129" t="s">
        <v>131</v>
      </c>
      <c r="G129" t="s">
        <v>116</v>
      </c>
      <c r="H129">
        <v>1</v>
      </c>
      <c r="I129">
        <v>2</v>
      </c>
      <c r="J129">
        <v>13</v>
      </c>
      <c r="K129">
        <v>3</v>
      </c>
    </row>
    <row r="130" spans="1:12" x14ac:dyDescent="0.15">
      <c r="A130" s="12">
        <f>表紙!AP183</f>
        <v>40210</v>
      </c>
      <c r="B130" t="s">
        <v>214</v>
      </c>
      <c r="C130" t="s">
        <v>490</v>
      </c>
      <c r="E130" t="s">
        <v>132</v>
      </c>
      <c r="F130" t="s">
        <v>220</v>
      </c>
      <c r="G130" t="s">
        <v>221</v>
      </c>
      <c r="H130">
        <v>1</v>
      </c>
      <c r="I130">
        <v>4</v>
      </c>
      <c r="J130">
        <v>24</v>
      </c>
      <c r="K130">
        <v>6</v>
      </c>
    </row>
    <row r="131" spans="1:12" x14ac:dyDescent="0.15">
      <c r="A131" s="12">
        <f>表紙!AP184</f>
        <v>40211</v>
      </c>
      <c r="B131" t="s">
        <v>214</v>
      </c>
      <c r="C131" t="s">
        <v>491</v>
      </c>
      <c r="E131" t="s">
        <v>222</v>
      </c>
      <c r="F131" t="s">
        <v>223</v>
      </c>
      <c r="G131" t="s">
        <v>224</v>
      </c>
      <c r="H131">
        <v>1</v>
      </c>
      <c r="I131">
        <v>7</v>
      </c>
      <c r="J131">
        <v>41</v>
      </c>
      <c r="K131">
        <v>10</v>
      </c>
    </row>
    <row r="132" spans="1:12" x14ac:dyDescent="0.15">
      <c r="A132" s="12">
        <f>表紙!AP185</f>
        <v>40212</v>
      </c>
      <c r="B132" t="s">
        <v>214</v>
      </c>
      <c r="C132" t="s">
        <v>492</v>
      </c>
      <c r="E132">
        <v>10</v>
      </c>
      <c r="F132">
        <v>5</v>
      </c>
      <c r="G132">
        <v>15</v>
      </c>
      <c r="H132">
        <v>1</v>
      </c>
      <c r="I132">
        <v>8</v>
      </c>
      <c r="J132">
        <v>44</v>
      </c>
      <c r="K132">
        <v>11</v>
      </c>
    </row>
    <row r="133" spans="1:12" x14ac:dyDescent="0.15">
      <c r="A133" s="12">
        <f>表紙!AP186</f>
        <v>40213</v>
      </c>
      <c r="B133" t="s">
        <v>214</v>
      </c>
      <c r="C133" t="s">
        <v>493</v>
      </c>
      <c r="E133">
        <v>0</v>
      </c>
      <c r="F133">
        <v>0</v>
      </c>
      <c r="G133">
        <v>0</v>
      </c>
      <c r="H133">
        <v>1</v>
      </c>
      <c r="I133">
        <v>0</v>
      </c>
      <c r="J133">
        <v>11</v>
      </c>
      <c r="K133">
        <v>3</v>
      </c>
    </row>
    <row r="134" spans="1:12" x14ac:dyDescent="0.15">
      <c r="A134" s="12">
        <f>表紙!AP187</f>
        <v>40214</v>
      </c>
      <c r="B134" t="s">
        <v>214</v>
      </c>
      <c r="C134" t="s">
        <v>494</v>
      </c>
      <c r="E134" t="s">
        <v>220</v>
      </c>
      <c r="F134" t="s">
        <v>131</v>
      </c>
      <c r="G134" t="s">
        <v>122</v>
      </c>
      <c r="H134">
        <v>1</v>
      </c>
      <c r="I134">
        <v>3</v>
      </c>
      <c r="J134">
        <v>21</v>
      </c>
      <c r="K134">
        <v>5</v>
      </c>
    </row>
    <row r="135" spans="1:12" x14ac:dyDescent="0.15">
      <c r="A135" s="12">
        <f>表紙!AP188</f>
        <v>40215</v>
      </c>
      <c r="B135" t="s">
        <v>214</v>
      </c>
      <c r="C135" t="s">
        <v>495</v>
      </c>
      <c r="E135" t="s">
        <v>132</v>
      </c>
      <c r="F135">
        <v>2</v>
      </c>
      <c r="G135" t="s">
        <v>225</v>
      </c>
      <c r="H135">
        <v>1</v>
      </c>
      <c r="I135">
        <v>4</v>
      </c>
      <c r="J135">
        <v>37</v>
      </c>
      <c r="K135">
        <v>9</v>
      </c>
    </row>
    <row r="136" spans="1:12" x14ac:dyDescent="0.15">
      <c r="A136" s="12">
        <f>表紙!AP189</f>
        <v>40216</v>
      </c>
      <c r="B136" t="s">
        <v>214</v>
      </c>
      <c r="C136" t="s">
        <v>496</v>
      </c>
      <c r="E136">
        <v>6</v>
      </c>
      <c r="F136">
        <v>2</v>
      </c>
      <c r="G136">
        <v>8</v>
      </c>
      <c r="H136">
        <v>1</v>
      </c>
      <c r="I136">
        <v>5</v>
      </c>
      <c r="J136">
        <v>39</v>
      </c>
      <c r="K136">
        <v>10</v>
      </c>
    </row>
    <row r="137" spans="1:12" x14ac:dyDescent="0.15">
      <c r="A137" s="12">
        <f>表紙!AP190</f>
        <v>40301</v>
      </c>
      <c r="B137" t="s">
        <v>215</v>
      </c>
      <c r="C137" t="s">
        <v>497</v>
      </c>
      <c r="E137">
        <v>3</v>
      </c>
      <c r="F137">
        <v>3</v>
      </c>
      <c r="G137">
        <v>6</v>
      </c>
      <c r="H137">
        <v>1</v>
      </c>
      <c r="I137">
        <v>3</v>
      </c>
      <c r="J137">
        <v>16</v>
      </c>
      <c r="K137">
        <v>4</v>
      </c>
      <c r="L137" t="s">
        <v>216</v>
      </c>
    </row>
    <row r="138" spans="1:12" x14ac:dyDescent="0.15">
      <c r="A138" s="12">
        <f>表紙!AP191</f>
        <v>40302</v>
      </c>
      <c r="B138" t="s">
        <v>215</v>
      </c>
      <c r="C138" t="s">
        <v>498</v>
      </c>
      <c r="E138">
        <v>5</v>
      </c>
      <c r="F138">
        <v>3</v>
      </c>
      <c r="G138">
        <v>8</v>
      </c>
      <c r="H138">
        <v>1</v>
      </c>
      <c r="I138">
        <v>4</v>
      </c>
      <c r="J138">
        <v>27</v>
      </c>
      <c r="K138">
        <v>7</v>
      </c>
      <c r="L138" t="s">
        <v>216</v>
      </c>
    </row>
    <row r="139" spans="1:12" x14ac:dyDescent="0.15">
      <c r="A139" s="12">
        <f>表紙!AP192</f>
        <v>40303</v>
      </c>
      <c r="B139" t="s">
        <v>215</v>
      </c>
      <c r="C139" t="s">
        <v>499</v>
      </c>
      <c r="E139">
        <v>7</v>
      </c>
      <c r="F139">
        <v>3</v>
      </c>
      <c r="G139">
        <v>10</v>
      </c>
      <c r="H139">
        <v>1</v>
      </c>
      <c r="I139">
        <v>7</v>
      </c>
      <c r="J139">
        <v>32</v>
      </c>
      <c r="K139">
        <v>8</v>
      </c>
      <c r="L139" t="s">
        <v>216</v>
      </c>
    </row>
    <row r="140" spans="1:12" x14ac:dyDescent="0.15">
      <c r="A140" s="12">
        <f>表紙!AP193</f>
        <v>40304</v>
      </c>
      <c r="B140" t="s">
        <v>215</v>
      </c>
      <c r="C140" t="s">
        <v>500</v>
      </c>
      <c r="E140">
        <v>10</v>
      </c>
      <c r="F140">
        <v>5</v>
      </c>
      <c r="G140">
        <v>15</v>
      </c>
      <c r="H140">
        <v>1</v>
      </c>
      <c r="I140">
        <v>9</v>
      </c>
      <c r="J140">
        <v>40</v>
      </c>
      <c r="K140">
        <v>10</v>
      </c>
      <c r="L140" t="s">
        <v>216</v>
      </c>
    </row>
    <row r="141" spans="1:12" x14ac:dyDescent="0.15">
      <c r="A141" s="12">
        <f>表紙!AP194</f>
        <v>40305</v>
      </c>
      <c r="B141" t="s">
        <v>215</v>
      </c>
      <c r="C141" t="s">
        <v>501</v>
      </c>
      <c r="E141">
        <v>3</v>
      </c>
      <c r="F141">
        <v>0</v>
      </c>
      <c r="G141">
        <v>3</v>
      </c>
      <c r="H141">
        <v>1</v>
      </c>
      <c r="I141">
        <v>2</v>
      </c>
      <c r="J141">
        <v>14</v>
      </c>
      <c r="K141">
        <v>3</v>
      </c>
      <c r="L141" t="s">
        <v>216</v>
      </c>
    </row>
    <row r="142" spans="1:12" x14ac:dyDescent="0.15">
      <c r="A142" s="12">
        <f>表紙!AP195</f>
        <v>40306</v>
      </c>
      <c r="B142" t="s">
        <v>215</v>
      </c>
      <c r="C142" t="s">
        <v>502</v>
      </c>
      <c r="E142">
        <v>5</v>
      </c>
      <c r="F142">
        <v>0</v>
      </c>
      <c r="G142">
        <v>5</v>
      </c>
      <c r="H142">
        <v>1</v>
      </c>
      <c r="I142">
        <v>4</v>
      </c>
      <c r="J142">
        <v>26</v>
      </c>
      <c r="K142">
        <v>6</v>
      </c>
      <c r="L142" t="s">
        <v>216</v>
      </c>
    </row>
    <row r="143" spans="1:12" x14ac:dyDescent="0.15">
      <c r="A143" s="12">
        <f>表紙!AP196</f>
        <v>40307</v>
      </c>
      <c r="B143" t="s">
        <v>215</v>
      </c>
      <c r="C143" t="s">
        <v>503</v>
      </c>
      <c r="E143">
        <v>7</v>
      </c>
      <c r="F143">
        <v>5</v>
      </c>
      <c r="G143">
        <v>10</v>
      </c>
      <c r="H143">
        <v>1</v>
      </c>
      <c r="I143">
        <v>7</v>
      </c>
      <c r="J143">
        <v>32</v>
      </c>
      <c r="K143">
        <v>8</v>
      </c>
      <c r="L143" t="s">
        <v>216</v>
      </c>
    </row>
    <row r="144" spans="1:12" x14ac:dyDescent="0.15">
      <c r="A144" s="12">
        <f>表紙!AP197</f>
        <v>40308</v>
      </c>
      <c r="B144" t="s">
        <v>215</v>
      </c>
      <c r="C144" t="s">
        <v>504</v>
      </c>
      <c r="E144">
        <v>10</v>
      </c>
      <c r="F144">
        <v>7</v>
      </c>
      <c r="G144">
        <v>15</v>
      </c>
      <c r="H144">
        <v>1</v>
      </c>
      <c r="I144">
        <v>9</v>
      </c>
      <c r="J144">
        <v>40</v>
      </c>
      <c r="K144">
        <v>10</v>
      </c>
      <c r="L144" t="s">
        <v>216</v>
      </c>
    </row>
    <row r="145" spans="1:11" x14ac:dyDescent="0.15">
      <c r="A145" s="12">
        <f>表紙!AP198</f>
        <v>40401</v>
      </c>
      <c r="B145" t="s">
        <v>218</v>
      </c>
      <c r="C145" t="s">
        <v>505</v>
      </c>
      <c r="E145">
        <v>5</v>
      </c>
      <c r="F145">
        <v>3</v>
      </c>
      <c r="G145">
        <v>8</v>
      </c>
      <c r="H145">
        <v>1</v>
      </c>
      <c r="I145">
        <v>3</v>
      </c>
      <c r="J145">
        <v>19</v>
      </c>
      <c r="K145">
        <v>5</v>
      </c>
    </row>
    <row r="146" spans="1:11" x14ac:dyDescent="0.15">
      <c r="A146" s="12">
        <f>表紙!AP199</f>
        <v>40402</v>
      </c>
      <c r="B146" t="s">
        <v>218</v>
      </c>
      <c r="C146" t="s">
        <v>506</v>
      </c>
      <c r="E146">
        <v>7</v>
      </c>
      <c r="F146">
        <v>3</v>
      </c>
      <c r="G146">
        <v>10</v>
      </c>
      <c r="H146">
        <v>1</v>
      </c>
      <c r="I146">
        <v>5</v>
      </c>
      <c r="J146">
        <v>27</v>
      </c>
      <c r="K146">
        <v>7</v>
      </c>
    </row>
    <row r="147" spans="1:11" x14ac:dyDescent="0.15">
      <c r="A147" s="12">
        <f>表紙!AP200</f>
        <v>40403</v>
      </c>
      <c r="B147" t="s">
        <v>218</v>
      </c>
      <c r="C147" t="s">
        <v>507</v>
      </c>
      <c r="E147">
        <v>8</v>
      </c>
      <c r="F147">
        <v>4</v>
      </c>
      <c r="G147">
        <v>12</v>
      </c>
      <c r="H147">
        <v>1</v>
      </c>
      <c r="I147">
        <v>8</v>
      </c>
      <c r="J147">
        <v>34</v>
      </c>
      <c r="K147">
        <v>8</v>
      </c>
    </row>
    <row r="148" spans="1:11" x14ac:dyDescent="0.15">
      <c r="A148" s="12">
        <f>表紙!AP201</f>
        <v>40404</v>
      </c>
      <c r="B148" t="s">
        <v>218</v>
      </c>
      <c r="C148" t="s">
        <v>508</v>
      </c>
      <c r="E148">
        <v>10</v>
      </c>
      <c r="F148">
        <v>5</v>
      </c>
      <c r="G148">
        <v>15</v>
      </c>
      <c r="H148">
        <v>2</v>
      </c>
      <c r="I148">
        <v>12</v>
      </c>
      <c r="J148">
        <v>36</v>
      </c>
      <c r="K148">
        <v>9</v>
      </c>
    </row>
    <row r="149" spans="1:11" x14ac:dyDescent="0.15">
      <c r="A149" s="12">
        <f>表紙!AP202</f>
        <v>40501</v>
      </c>
      <c r="B149" t="s">
        <v>219</v>
      </c>
      <c r="C149" t="s">
        <v>509</v>
      </c>
      <c r="E149">
        <v>6</v>
      </c>
      <c r="F149">
        <v>0</v>
      </c>
      <c r="G149">
        <v>6</v>
      </c>
      <c r="H149">
        <v>1</v>
      </c>
      <c r="I149">
        <v>3</v>
      </c>
      <c r="J149">
        <v>17</v>
      </c>
      <c r="K149">
        <v>4</v>
      </c>
    </row>
    <row r="150" spans="1:11" x14ac:dyDescent="0.15">
      <c r="A150" s="12">
        <f>表紙!AP203</f>
        <v>40502</v>
      </c>
      <c r="B150" t="s">
        <v>219</v>
      </c>
      <c r="C150" t="s">
        <v>510</v>
      </c>
      <c r="E150">
        <v>8</v>
      </c>
      <c r="F150">
        <v>0</v>
      </c>
      <c r="G150">
        <v>8</v>
      </c>
      <c r="H150">
        <v>1</v>
      </c>
      <c r="I150">
        <v>3</v>
      </c>
      <c r="J150">
        <v>21</v>
      </c>
      <c r="K150">
        <v>5</v>
      </c>
    </row>
    <row r="151" spans="1:11" x14ac:dyDescent="0.15">
      <c r="A151" s="12">
        <f>表紙!AP204</f>
        <v>40503</v>
      </c>
      <c r="B151" t="s">
        <v>219</v>
      </c>
      <c r="C151" t="s">
        <v>511</v>
      </c>
      <c r="E151">
        <v>10</v>
      </c>
      <c r="F151">
        <v>0</v>
      </c>
      <c r="G151">
        <v>10</v>
      </c>
      <c r="H151">
        <v>2</v>
      </c>
      <c r="I151">
        <v>4</v>
      </c>
      <c r="J151">
        <v>27</v>
      </c>
      <c r="K151">
        <v>7</v>
      </c>
    </row>
    <row r="152" spans="1:11" x14ac:dyDescent="0.15">
      <c r="A152" s="12">
        <f>表紙!AP205</f>
        <v>40504</v>
      </c>
      <c r="B152" t="s">
        <v>219</v>
      </c>
      <c r="C152" t="s">
        <v>512</v>
      </c>
      <c r="E152">
        <v>15</v>
      </c>
      <c r="F152">
        <v>0</v>
      </c>
      <c r="G152">
        <v>15</v>
      </c>
      <c r="H152">
        <v>3</v>
      </c>
      <c r="I152">
        <v>6</v>
      </c>
      <c r="J152">
        <v>33</v>
      </c>
      <c r="K152">
        <v>8</v>
      </c>
    </row>
    <row r="153" spans="1:11" x14ac:dyDescent="0.15">
      <c r="A153" s="12">
        <f>表紙!AP206</f>
        <v>40601</v>
      </c>
      <c r="B153" t="s">
        <v>217</v>
      </c>
      <c r="C153" t="s">
        <v>513</v>
      </c>
      <c r="E153">
        <v>3</v>
      </c>
      <c r="F153">
        <v>0</v>
      </c>
      <c r="G153">
        <v>3</v>
      </c>
      <c r="H153">
        <v>1</v>
      </c>
      <c r="I153">
        <v>2</v>
      </c>
      <c r="J153">
        <v>14</v>
      </c>
      <c r="K153">
        <v>3</v>
      </c>
    </row>
    <row r="154" spans="1:11" x14ac:dyDescent="0.15">
      <c r="A154" s="12">
        <f>表紙!AP207</f>
        <v>40602</v>
      </c>
      <c r="B154" t="s">
        <v>217</v>
      </c>
      <c r="C154" t="s">
        <v>514</v>
      </c>
      <c r="E154" t="s">
        <v>223</v>
      </c>
      <c r="F154" t="s">
        <v>131</v>
      </c>
      <c r="G154">
        <v>6</v>
      </c>
      <c r="H154">
        <v>1</v>
      </c>
      <c r="I154">
        <v>3</v>
      </c>
      <c r="J154">
        <v>19</v>
      </c>
      <c r="K154">
        <v>5</v>
      </c>
    </row>
    <row r="155" spans="1:11" x14ac:dyDescent="0.15">
      <c r="A155" s="12">
        <f>表紙!AP208</f>
        <v>40603</v>
      </c>
      <c r="B155" t="s">
        <v>217</v>
      </c>
      <c r="C155" t="s">
        <v>515</v>
      </c>
      <c r="E155" t="s">
        <v>226</v>
      </c>
      <c r="F155" t="s">
        <v>220</v>
      </c>
      <c r="G155">
        <v>10</v>
      </c>
      <c r="H155">
        <v>1</v>
      </c>
      <c r="I155">
        <v>4</v>
      </c>
      <c r="J155">
        <v>25</v>
      </c>
      <c r="K155">
        <v>6</v>
      </c>
    </row>
    <row r="156" spans="1:11" x14ac:dyDescent="0.15">
      <c r="A156" s="12">
        <f>表紙!AP209</f>
        <v>40604</v>
      </c>
      <c r="B156" t="s">
        <v>217</v>
      </c>
      <c r="C156" t="s">
        <v>516</v>
      </c>
      <c r="E156" t="s">
        <v>222</v>
      </c>
      <c r="F156" t="s">
        <v>116</v>
      </c>
      <c r="G156">
        <v>12</v>
      </c>
      <c r="H156">
        <v>1</v>
      </c>
      <c r="I156">
        <v>4</v>
      </c>
      <c r="J156">
        <v>29</v>
      </c>
      <c r="K156">
        <v>7</v>
      </c>
    </row>
    <row r="157" spans="1:11" x14ac:dyDescent="0.15">
      <c r="A157" s="12">
        <f>表紙!AP210</f>
        <v>40605</v>
      </c>
      <c r="B157" t="s">
        <v>217</v>
      </c>
      <c r="C157" t="s">
        <v>517</v>
      </c>
      <c r="E157" t="s">
        <v>227</v>
      </c>
      <c r="F157" t="s">
        <v>130</v>
      </c>
      <c r="G157">
        <v>14</v>
      </c>
      <c r="H157">
        <v>1</v>
      </c>
      <c r="I157">
        <v>5</v>
      </c>
      <c r="J157">
        <v>30</v>
      </c>
      <c r="K157">
        <v>7</v>
      </c>
    </row>
    <row r="158" spans="1:11" x14ac:dyDescent="0.15">
      <c r="A158" s="12">
        <f>表紙!AP211</f>
        <v>40606</v>
      </c>
      <c r="B158" t="s">
        <v>217</v>
      </c>
      <c r="C158" t="s">
        <v>518</v>
      </c>
      <c r="E158" t="s">
        <v>228</v>
      </c>
      <c r="F158" t="s">
        <v>132</v>
      </c>
      <c r="G158">
        <v>20</v>
      </c>
      <c r="H158">
        <v>1</v>
      </c>
      <c r="I158">
        <v>7</v>
      </c>
      <c r="J158">
        <v>38</v>
      </c>
      <c r="K158">
        <v>10</v>
      </c>
    </row>
    <row r="159" spans="1:11" x14ac:dyDescent="0.15">
      <c r="A159" s="12">
        <f>表紙!AP212</f>
        <v>50101</v>
      </c>
      <c r="B159" t="s">
        <v>552</v>
      </c>
      <c r="C159" t="s">
        <v>554</v>
      </c>
      <c r="E159">
        <v>10</v>
      </c>
      <c r="G159">
        <v>10</v>
      </c>
      <c r="H159">
        <v>5</v>
      </c>
      <c r="I159">
        <v>10</v>
      </c>
      <c r="J159" t="s">
        <v>579</v>
      </c>
      <c r="K159" t="s">
        <v>579</v>
      </c>
    </row>
    <row r="160" spans="1:11" x14ac:dyDescent="0.15">
      <c r="A160" s="12">
        <f>表紙!AP213</f>
        <v>50102</v>
      </c>
      <c r="B160" t="s">
        <v>552</v>
      </c>
      <c r="C160" t="s">
        <v>553</v>
      </c>
      <c r="E160">
        <v>5</v>
      </c>
      <c r="G160">
        <v>5</v>
      </c>
      <c r="H160">
        <v>2.5</v>
      </c>
      <c r="I160">
        <v>5</v>
      </c>
      <c r="J160" t="s">
        <v>579</v>
      </c>
      <c r="K160" t="s">
        <v>579</v>
      </c>
    </row>
    <row r="161" spans="1:12" x14ac:dyDescent="0.15">
      <c r="A161" s="12">
        <f>表紙!AP214</f>
        <v>50103</v>
      </c>
      <c r="B161" t="s">
        <v>552</v>
      </c>
      <c r="C161" t="s">
        <v>555</v>
      </c>
      <c r="E161">
        <v>10</v>
      </c>
      <c r="G161">
        <v>10</v>
      </c>
      <c r="H161">
        <v>5</v>
      </c>
      <c r="I161">
        <v>10</v>
      </c>
      <c r="J161" t="s">
        <v>579</v>
      </c>
      <c r="K161" t="s">
        <v>579</v>
      </c>
      <c r="L161" t="s">
        <v>610</v>
      </c>
    </row>
    <row r="162" spans="1:12" x14ac:dyDescent="0.15">
      <c r="A162" s="12">
        <f>表紙!AP215</f>
        <v>50104</v>
      </c>
      <c r="B162" t="s">
        <v>552</v>
      </c>
      <c r="C162" t="s">
        <v>556</v>
      </c>
      <c r="E162">
        <v>5</v>
      </c>
      <c r="G162">
        <v>5</v>
      </c>
      <c r="H162">
        <v>2.5</v>
      </c>
      <c r="I162">
        <v>5</v>
      </c>
      <c r="J162" t="s">
        <v>579</v>
      </c>
      <c r="K162" t="s">
        <v>579</v>
      </c>
    </row>
    <row r="163" spans="1:12" x14ac:dyDescent="0.15">
      <c r="A163" s="12">
        <f>表紙!AP216</f>
        <v>50105</v>
      </c>
      <c r="B163" t="s">
        <v>552</v>
      </c>
      <c r="C163" t="s">
        <v>557</v>
      </c>
      <c r="E163" t="s">
        <v>223</v>
      </c>
      <c r="G163" t="s">
        <v>223</v>
      </c>
      <c r="H163">
        <v>5</v>
      </c>
      <c r="I163">
        <v>5</v>
      </c>
      <c r="J163" t="s">
        <v>579</v>
      </c>
      <c r="K163" t="s">
        <v>579</v>
      </c>
      <c r="L163" t="s">
        <v>611</v>
      </c>
    </row>
    <row r="164" spans="1:12" x14ac:dyDescent="0.15">
      <c r="A164" s="12">
        <f>表紙!AP217</f>
        <v>50106</v>
      </c>
      <c r="B164" t="s">
        <v>552</v>
      </c>
      <c r="C164" t="s">
        <v>558</v>
      </c>
      <c r="E164" t="s">
        <v>223</v>
      </c>
      <c r="G164" t="s">
        <v>223</v>
      </c>
      <c r="H164">
        <v>5</v>
      </c>
      <c r="I164">
        <v>5</v>
      </c>
      <c r="J164" t="s">
        <v>579</v>
      </c>
      <c r="K164" t="s">
        <v>579</v>
      </c>
      <c r="L164" t="s">
        <v>611</v>
      </c>
    </row>
    <row r="165" spans="1:12" x14ac:dyDescent="0.15">
      <c r="A165" s="12">
        <f>表紙!AP218</f>
        <v>50201</v>
      </c>
      <c r="B165" t="s">
        <v>559</v>
      </c>
      <c r="C165" t="s">
        <v>612</v>
      </c>
      <c r="E165">
        <v>10</v>
      </c>
      <c r="G165">
        <v>10</v>
      </c>
      <c r="H165">
        <v>5</v>
      </c>
      <c r="I165">
        <v>10</v>
      </c>
      <c r="J165" t="s">
        <v>579</v>
      </c>
      <c r="K165" t="s">
        <v>579</v>
      </c>
    </row>
    <row r="166" spans="1:12" x14ac:dyDescent="0.15">
      <c r="A166" s="12">
        <f>表紙!AP219</f>
        <v>50202</v>
      </c>
      <c r="B166" t="s">
        <v>559</v>
      </c>
      <c r="C166" t="s">
        <v>614</v>
      </c>
      <c r="E166">
        <v>5</v>
      </c>
      <c r="G166">
        <v>5</v>
      </c>
      <c r="H166">
        <v>2.5</v>
      </c>
      <c r="I166">
        <v>5</v>
      </c>
      <c r="J166" t="s">
        <v>579</v>
      </c>
      <c r="K166" t="s">
        <v>579</v>
      </c>
    </row>
    <row r="167" spans="1:12" x14ac:dyDescent="0.15">
      <c r="A167" s="12">
        <f>表紙!AP220</f>
        <v>50203</v>
      </c>
      <c r="B167" t="s">
        <v>559</v>
      </c>
      <c r="C167" t="s">
        <v>616</v>
      </c>
      <c r="E167">
        <v>10</v>
      </c>
      <c r="G167">
        <v>10</v>
      </c>
      <c r="H167">
        <v>5</v>
      </c>
      <c r="I167">
        <v>10</v>
      </c>
      <c r="J167" t="s">
        <v>579</v>
      </c>
      <c r="K167" t="s">
        <v>579</v>
      </c>
    </row>
    <row r="168" spans="1:12" x14ac:dyDescent="0.15">
      <c r="A168" s="12">
        <f>表紙!AP221</f>
        <v>50204</v>
      </c>
      <c r="B168" t="s">
        <v>559</v>
      </c>
      <c r="C168" t="s">
        <v>618</v>
      </c>
      <c r="E168">
        <v>5</v>
      </c>
      <c r="G168">
        <v>5</v>
      </c>
      <c r="H168">
        <v>2.5</v>
      </c>
      <c r="I168">
        <v>5</v>
      </c>
      <c r="J168" t="s">
        <v>579</v>
      </c>
      <c r="K168" t="s">
        <v>579</v>
      </c>
    </row>
    <row r="169" spans="1:12" x14ac:dyDescent="0.15">
      <c r="A169" s="12">
        <f>表紙!AP222</f>
        <v>50301</v>
      </c>
      <c r="B169" t="s">
        <v>560</v>
      </c>
      <c r="C169" t="s">
        <v>575</v>
      </c>
      <c r="E169">
        <v>6</v>
      </c>
      <c r="G169">
        <v>6</v>
      </c>
      <c r="H169">
        <v>3</v>
      </c>
      <c r="I169">
        <v>3</v>
      </c>
      <c r="J169" t="s">
        <v>579</v>
      </c>
      <c r="K169" t="s">
        <v>579</v>
      </c>
    </row>
    <row r="170" spans="1:12" x14ac:dyDescent="0.15">
      <c r="A170" s="12">
        <f>表紙!AP223</f>
        <v>50302</v>
      </c>
      <c r="B170" t="s">
        <v>560</v>
      </c>
      <c r="C170" t="s">
        <v>576</v>
      </c>
      <c r="E170">
        <v>6</v>
      </c>
      <c r="G170">
        <v>6</v>
      </c>
      <c r="H170">
        <v>3</v>
      </c>
      <c r="I170">
        <v>3</v>
      </c>
      <c r="J170" t="s">
        <v>579</v>
      </c>
      <c r="K170" t="s">
        <v>579</v>
      </c>
    </row>
    <row r="171" spans="1:12" x14ac:dyDescent="0.15">
      <c r="A171" s="12">
        <f>表紙!AP224</f>
        <v>50303</v>
      </c>
      <c r="B171" t="s">
        <v>560</v>
      </c>
      <c r="C171" t="s">
        <v>577</v>
      </c>
      <c r="E171">
        <v>6</v>
      </c>
      <c r="G171">
        <v>6</v>
      </c>
      <c r="H171">
        <v>3</v>
      </c>
      <c r="I171">
        <v>3</v>
      </c>
      <c r="J171" t="s">
        <v>579</v>
      </c>
      <c r="K171" t="s">
        <v>579</v>
      </c>
    </row>
    <row r="172" spans="1:12" x14ac:dyDescent="0.15">
      <c r="A172" s="12">
        <f>表紙!AP225</f>
        <v>50304</v>
      </c>
      <c r="B172" t="s">
        <v>560</v>
      </c>
      <c r="C172" t="s">
        <v>620</v>
      </c>
      <c r="E172">
        <v>6</v>
      </c>
      <c r="G172">
        <v>6</v>
      </c>
      <c r="H172">
        <v>3</v>
      </c>
      <c r="I172">
        <v>3</v>
      </c>
      <c r="J172" t="s">
        <v>579</v>
      </c>
      <c r="K172" t="s">
        <v>579</v>
      </c>
    </row>
    <row r="173" spans="1:12" x14ac:dyDescent="0.15">
      <c r="A173" s="12">
        <f>表紙!AP226</f>
        <v>50401</v>
      </c>
      <c r="B173" t="s">
        <v>561</v>
      </c>
      <c r="C173" t="s">
        <v>568</v>
      </c>
      <c r="E173">
        <v>15</v>
      </c>
      <c r="G173">
        <v>15</v>
      </c>
      <c r="H173">
        <v>9</v>
      </c>
      <c r="I173">
        <v>10</v>
      </c>
      <c r="J173" t="s">
        <v>579</v>
      </c>
      <c r="K173" t="s">
        <v>579</v>
      </c>
    </row>
    <row r="174" spans="1:12" x14ac:dyDescent="0.15">
      <c r="A174" s="12">
        <f>表紙!AP227</f>
        <v>50402</v>
      </c>
      <c r="B174" t="s">
        <v>561</v>
      </c>
      <c r="C174" t="s">
        <v>569</v>
      </c>
      <c r="E174">
        <v>15</v>
      </c>
      <c r="G174">
        <v>15</v>
      </c>
      <c r="H174">
        <v>10</v>
      </c>
      <c r="I174">
        <v>10</v>
      </c>
      <c r="J174" t="s">
        <v>579</v>
      </c>
      <c r="K174" t="s">
        <v>579</v>
      </c>
    </row>
    <row r="175" spans="1:12" x14ac:dyDescent="0.15">
      <c r="A175" s="12">
        <f>表紙!AP228</f>
        <v>50403</v>
      </c>
      <c r="B175" t="s">
        <v>561</v>
      </c>
      <c r="C175" t="s">
        <v>570</v>
      </c>
      <c r="E175">
        <v>15</v>
      </c>
      <c r="G175">
        <v>15</v>
      </c>
      <c r="H175">
        <v>11</v>
      </c>
      <c r="I175">
        <v>10</v>
      </c>
      <c r="J175" t="s">
        <v>579</v>
      </c>
      <c r="K175" t="s">
        <v>579</v>
      </c>
    </row>
    <row r="176" spans="1:12" x14ac:dyDescent="0.15">
      <c r="A176" s="12">
        <f>表紙!AP229</f>
        <v>50404</v>
      </c>
      <c r="B176" t="s">
        <v>561</v>
      </c>
      <c r="C176" t="s">
        <v>571</v>
      </c>
      <c r="E176">
        <v>15</v>
      </c>
      <c r="G176">
        <v>15</v>
      </c>
      <c r="H176">
        <v>11</v>
      </c>
      <c r="I176">
        <v>10</v>
      </c>
      <c r="J176" t="s">
        <v>579</v>
      </c>
      <c r="K176" t="s">
        <v>579</v>
      </c>
    </row>
    <row r="177" spans="1:11" x14ac:dyDescent="0.15">
      <c r="A177" s="12">
        <f>表紙!AP230</f>
        <v>50501</v>
      </c>
      <c r="B177" t="s">
        <v>562</v>
      </c>
      <c r="C177" t="s">
        <v>572</v>
      </c>
      <c r="E177">
        <v>10</v>
      </c>
      <c r="G177">
        <v>10</v>
      </c>
      <c r="H177">
        <v>9</v>
      </c>
      <c r="I177">
        <v>10</v>
      </c>
      <c r="J177" t="s">
        <v>579</v>
      </c>
      <c r="K177" t="s">
        <v>579</v>
      </c>
    </row>
    <row r="178" spans="1:11" x14ac:dyDescent="0.15">
      <c r="A178" s="12">
        <f>表紙!AP231</f>
        <v>50502</v>
      </c>
      <c r="B178" t="s">
        <v>562</v>
      </c>
      <c r="C178" t="s">
        <v>573</v>
      </c>
      <c r="E178">
        <v>10</v>
      </c>
      <c r="G178">
        <v>10</v>
      </c>
      <c r="H178">
        <v>13</v>
      </c>
      <c r="I178">
        <v>10</v>
      </c>
      <c r="J178" t="s">
        <v>579</v>
      </c>
      <c r="K178" t="s">
        <v>579</v>
      </c>
    </row>
    <row r="179" spans="1:11" x14ac:dyDescent="0.15">
      <c r="A179" s="12">
        <f>表紙!AP232</f>
        <v>50503</v>
      </c>
      <c r="B179" t="s">
        <v>562</v>
      </c>
      <c r="C179" t="s">
        <v>563</v>
      </c>
      <c r="E179">
        <v>5</v>
      </c>
      <c r="G179">
        <v>5</v>
      </c>
      <c r="H179">
        <v>9</v>
      </c>
      <c r="I179">
        <v>10</v>
      </c>
      <c r="J179" t="s">
        <v>579</v>
      </c>
      <c r="K179" t="s">
        <v>579</v>
      </c>
    </row>
    <row r="180" spans="1:11" x14ac:dyDescent="0.15">
      <c r="A180" s="12">
        <f>表紙!AP233</f>
        <v>50601</v>
      </c>
      <c r="B180" t="s">
        <v>574</v>
      </c>
      <c r="C180" t="s">
        <v>564</v>
      </c>
      <c r="E180">
        <v>8</v>
      </c>
      <c r="F180">
        <v>3</v>
      </c>
      <c r="G180">
        <v>11</v>
      </c>
      <c r="H180">
        <v>7</v>
      </c>
      <c r="I180">
        <v>8</v>
      </c>
      <c r="J180" t="s">
        <v>579</v>
      </c>
      <c r="K180" t="s">
        <v>579</v>
      </c>
    </row>
    <row r="181" spans="1:11" x14ac:dyDescent="0.15">
      <c r="A181" s="12">
        <f>表紙!AP234</f>
        <v>50602</v>
      </c>
      <c r="B181" t="s">
        <v>574</v>
      </c>
      <c r="C181" t="s">
        <v>565</v>
      </c>
      <c r="E181">
        <v>8</v>
      </c>
      <c r="F181">
        <v>3</v>
      </c>
      <c r="G181">
        <v>11</v>
      </c>
      <c r="H181">
        <v>4</v>
      </c>
      <c r="I181">
        <v>8</v>
      </c>
      <c r="J181" t="s">
        <v>579</v>
      </c>
      <c r="K181" t="s">
        <v>579</v>
      </c>
    </row>
    <row r="182" spans="1:11" x14ac:dyDescent="0.15">
      <c r="A182" s="12">
        <f>表紙!AP235</f>
        <v>50603</v>
      </c>
      <c r="B182" t="s">
        <v>574</v>
      </c>
      <c r="C182" t="s">
        <v>566</v>
      </c>
      <c r="E182">
        <v>8</v>
      </c>
      <c r="F182">
        <v>3</v>
      </c>
      <c r="G182">
        <v>11</v>
      </c>
      <c r="H182">
        <v>5</v>
      </c>
      <c r="I182">
        <v>8</v>
      </c>
      <c r="J182" t="s">
        <v>579</v>
      </c>
      <c r="K182" t="s">
        <v>579</v>
      </c>
    </row>
    <row r="183" spans="1:11" x14ac:dyDescent="0.15">
      <c r="A183" s="12">
        <f>表紙!AP236</f>
        <v>50604</v>
      </c>
      <c r="B183" t="s">
        <v>574</v>
      </c>
      <c r="C183" t="s">
        <v>567</v>
      </c>
      <c r="E183">
        <v>10</v>
      </c>
      <c r="G183">
        <v>10</v>
      </c>
      <c r="H183">
        <v>2</v>
      </c>
      <c r="I183">
        <v>10</v>
      </c>
      <c r="J183" t="s">
        <v>579</v>
      </c>
      <c r="K183" t="s">
        <v>579</v>
      </c>
    </row>
  </sheetData>
  <sheetProtection password="DA91" sheet="1" objects="1" scenarios="1"/>
  <mergeCells count="11">
    <mergeCell ref="A2:A4"/>
    <mergeCell ref="B2:B4"/>
    <mergeCell ref="C2:C4"/>
    <mergeCell ref="D2:D4"/>
    <mergeCell ref="K3:K4"/>
    <mergeCell ref="E2:K2"/>
    <mergeCell ref="L2:L4"/>
    <mergeCell ref="E3:G3"/>
    <mergeCell ref="H3:H4"/>
    <mergeCell ref="I3:I4"/>
    <mergeCell ref="J3:J4"/>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3"/>
  <sheetViews>
    <sheetView workbookViewId="0"/>
  </sheetViews>
  <sheetFormatPr defaultRowHeight="13.5" x14ac:dyDescent="0.15"/>
  <cols>
    <col min="2" max="2" width="14.125" bestFit="1" customWidth="1"/>
    <col min="3" max="3" width="36.125" bestFit="1" customWidth="1"/>
    <col min="4" max="4" width="16.875" bestFit="1" customWidth="1"/>
    <col min="5" max="5" width="11" bestFit="1" customWidth="1"/>
    <col min="6" max="6" width="22.75" bestFit="1" customWidth="1"/>
    <col min="18" max="18" width="67.25" bestFit="1" customWidth="1"/>
    <col min="19" max="19" width="11.125" bestFit="1" customWidth="1"/>
  </cols>
  <sheetData>
    <row r="1" spans="1:19" x14ac:dyDescent="0.15">
      <c r="B1" t="s">
        <v>237</v>
      </c>
    </row>
    <row r="2" spans="1:19" x14ac:dyDescent="0.15">
      <c r="A2" s="237" t="s">
        <v>331</v>
      </c>
      <c r="B2" s="233" t="s">
        <v>106</v>
      </c>
      <c r="C2" s="233" t="s">
        <v>107</v>
      </c>
      <c r="D2" s="233" t="s">
        <v>108</v>
      </c>
      <c r="E2" s="233" t="s">
        <v>398</v>
      </c>
      <c r="F2" s="233"/>
      <c r="G2" s="233"/>
      <c r="H2" s="233"/>
      <c r="I2" s="233"/>
      <c r="J2" s="233"/>
      <c r="K2" s="233"/>
      <c r="L2" s="233"/>
      <c r="M2" s="233"/>
      <c r="N2" s="233"/>
      <c r="O2" s="233"/>
      <c r="P2" s="233"/>
      <c r="Q2" s="233"/>
      <c r="R2" s="233" t="s">
        <v>12</v>
      </c>
      <c r="S2" s="233" t="s">
        <v>293</v>
      </c>
    </row>
    <row r="3" spans="1:19" x14ac:dyDescent="0.15">
      <c r="A3" s="237"/>
      <c r="B3" s="233"/>
      <c r="C3" s="233"/>
      <c r="D3" s="233"/>
      <c r="E3" s="233" t="s">
        <v>110</v>
      </c>
      <c r="F3" s="233"/>
      <c r="G3" s="233"/>
      <c r="H3" s="233" t="s">
        <v>114</v>
      </c>
      <c r="I3" s="233" t="s">
        <v>8</v>
      </c>
      <c r="J3" s="234" t="s">
        <v>376</v>
      </c>
      <c r="K3" s="234" t="s">
        <v>114</v>
      </c>
      <c r="L3" s="234"/>
      <c r="M3" s="234" t="s">
        <v>377</v>
      </c>
      <c r="N3" s="234" t="s">
        <v>8</v>
      </c>
      <c r="O3" s="234"/>
      <c r="P3" s="233" t="s">
        <v>6</v>
      </c>
      <c r="Q3" s="233" t="s">
        <v>7</v>
      </c>
      <c r="R3" s="233"/>
      <c r="S3" s="233"/>
    </row>
    <row r="4" spans="1:19" x14ac:dyDescent="0.15">
      <c r="A4" s="237"/>
      <c r="B4" s="233"/>
      <c r="C4" s="233"/>
      <c r="D4" s="233"/>
      <c r="E4" s="1" t="s">
        <v>111</v>
      </c>
      <c r="F4" s="1" t="s">
        <v>112</v>
      </c>
      <c r="G4" s="1" t="s">
        <v>113</v>
      </c>
      <c r="H4" s="233"/>
      <c r="I4" s="233"/>
      <c r="J4" s="233"/>
      <c r="K4" s="1" t="s">
        <v>111</v>
      </c>
      <c r="L4" s="1" t="s">
        <v>112</v>
      </c>
      <c r="M4" s="233"/>
      <c r="N4" s="1" t="s">
        <v>111</v>
      </c>
      <c r="O4" s="1" t="s">
        <v>112</v>
      </c>
      <c r="P4" s="233"/>
      <c r="Q4" s="233"/>
      <c r="R4" s="233"/>
      <c r="S4" s="233"/>
    </row>
    <row r="5" spans="1:19" s="6" customFormat="1" x14ac:dyDescent="0.15">
      <c r="A5" s="12">
        <f>表紙!AP58</f>
        <v>10101</v>
      </c>
      <c r="B5" s="5" t="s">
        <v>22</v>
      </c>
      <c r="C5" s="5" t="s">
        <v>407</v>
      </c>
      <c r="D5" s="5" t="s">
        <v>229</v>
      </c>
      <c r="E5" s="5" t="s">
        <v>132</v>
      </c>
      <c r="F5" s="5" t="s">
        <v>231</v>
      </c>
      <c r="G5" s="5" t="s">
        <v>225</v>
      </c>
      <c r="H5" s="5" t="s">
        <v>238</v>
      </c>
      <c r="I5" s="5">
        <v>10</v>
      </c>
      <c r="J5" s="5">
        <v>10</v>
      </c>
      <c r="K5" s="5">
        <v>10</v>
      </c>
      <c r="L5" s="5"/>
      <c r="M5" s="5">
        <v>10</v>
      </c>
      <c r="N5" s="5">
        <v>10</v>
      </c>
      <c r="O5" s="5"/>
      <c r="P5" s="5"/>
      <c r="Q5" s="5"/>
      <c r="R5" s="5" t="s">
        <v>241</v>
      </c>
      <c r="S5" s="6" t="s">
        <v>294</v>
      </c>
    </row>
    <row r="6" spans="1:19" s="6" customFormat="1" x14ac:dyDescent="0.15">
      <c r="A6" s="12">
        <f>表紙!AP59</f>
        <v>10201</v>
      </c>
      <c r="B6" s="5" t="s">
        <v>16</v>
      </c>
      <c r="C6" s="5" t="s">
        <v>408</v>
      </c>
      <c r="D6" s="5" t="s">
        <v>229</v>
      </c>
      <c r="E6" s="5" t="s">
        <v>132</v>
      </c>
      <c r="F6" s="5" t="s">
        <v>232</v>
      </c>
      <c r="G6" s="5" t="s">
        <v>225</v>
      </c>
      <c r="H6" s="5" t="s">
        <v>239</v>
      </c>
      <c r="I6" s="5" t="s">
        <v>240</v>
      </c>
      <c r="J6" s="5">
        <v>10</v>
      </c>
      <c r="K6" s="5">
        <v>10</v>
      </c>
      <c r="L6" s="5"/>
      <c r="M6" s="5">
        <v>10</v>
      </c>
      <c r="N6" s="5">
        <v>10</v>
      </c>
      <c r="O6" s="5"/>
      <c r="P6" s="5"/>
      <c r="Q6" s="5"/>
      <c r="R6" s="5" t="s">
        <v>241</v>
      </c>
      <c r="S6" s="6" t="s">
        <v>294</v>
      </c>
    </row>
    <row r="7" spans="1:19" s="6" customFormat="1" x14ac:dyDescent="0.15">
      <c r="A7" s="12">
        <f>表紙!AP60</f>
        <v>10202</v>
      </c>
      <c r="B7" s="5" t="s">
        <v>16</v>
      </c>
      <c r="C7" s="5" t="s">
        <v>409</v>
      </c>
      <c r="D7" s="5" t="s">
        <v>229</v>
      </c>
      <c r="E7" s="5" t="s">
        <v>132</v>
      </c>
      <c r="F7" s="5" t="s">
        <v>232</v>
      </c>
      <c r="G7" s="5" t="s">
        <v>225</v>
      </c>
      <c r="H7" s="5" t="s">
        <v>239</v>
      </c>
      <c r="I7" s="5" t="s">
        <v>240</v>
      </c>
      <c r="J7" s="5">
        <v>10</v>
      </c>
      <c r="K7" s="5">
        <v>10</v>
      </c>
      <c r="L7" s="5"/>
      <c r="M7" s="5">
        <v>10</v>
      </c>
      <c r="N7" s="5">
        <v>10</v>
      </c>
      <c r="O7" s="5"/>
      <c r="P7" s="5"/>
      <c r="Q7" s="5"/>
      <c r="R7" s="5" t="s">
        <v>241</v>
      </c>
      <c r="S7" s="6" t="s">
        <v>294</v>
      </c>
    </row>
    <row r="8" spans="1:19" s="6" customFormat="1" x14ac:dyDescent="0.15">
      <c r="A8" s="12">
        <f>表紙!AP61</f>
        <v>10203</v>
      </c>
      <c r="B8" s="5" t="s">
        <v>16</v>
      </c>
      <c r="C8" s="5" t="s">
        <v>410</v>
      </c>
      <c r="D8" s="5" t="s">
        <v>229</v>
      </c>
      <c r="E8" s="5" t="s">
        <v>132</v>
      </c>
      <c r="F8" s="5" t="s">
        <v>230</v>
      </c>
      <c r="G8" s="5" t="s">
        <v>222</v>
      </c>
      <c r="H8" s="5" t="s">
        <v>239</v>
      </c>
      <c r="I8" s="5" t="s">
        <v>240</v>
      </c>
      <c r="J8" s="5">
        <v>10</v>
      </c>
      <c r="K8" s="5">
        <v>10</v>
      </c>
      <c r="L8" s="5"/>
      <c r="M8" s="5">
        <v>10</v>
      </c>
      <c r="N8" s="5">
        <v>10</v>
      </c>
      <c r="O8" s="5"/>
      <c r="P8" s="5"/>
      <c r="Q8" s="5"/>
      <c r="R8" s="5" t="s">
        <v>241</v>
      </c>
      <c r="S8" s="6" t="s">
        <v>294</v>
      </c>
    </row>
    <row r="9" spans="1:19" s="6" customFormat="1" x14ac:dyDescent="0.15">
      <c r="A9" s="12">
        <f>表紙!AP62</f>
        <v>10204</v>
      </c>
      <c r="B9" s="5" t="s">
        <v>16</v>
      </c>
      <c r="C9" s="5" t="s">
        <v>411</v>
      </c>
      <c r="D9" s="5" t="s">
        <v>229</v>
      </c>
      <c r="E9" s="5" t="s">
        <v>132</v>
      </c>
      <c r="F9" s="5" t="s">
        <v>233</v>
      </c>
      <c r="G9" s="5" t="s">
        <v>235</v>
      </c>
      <c r="H9" s="5" t="s">
        <v>239</v>
      </c>
      <c r="I9" s="5" t="s">
        <v>240</v>
      </c>
      <c r="J9" s="5">
        <v>10</v>
      </c>
      <c r="K9" s="5">
        <v>10</v>
      </c>
      <c r="L9" s="5"/>
      <c r="M9" s="5">
        <v>10</v>
      </c>
      <c r="N9" s="5">
        <v>10</v>
      </c>
      <c r="O9" s="5"/>
      <c r="P9" s="5"/>
      <c r="Q9" s="5"/>
      <c r="R9" s="5" t="s">
        <v>241</v>
      </c>
      <c r="S9" s="6" t="s">
        <v>294</v>
      </c>
    </row>
    <row r="10" spans="1:19" s="6" customFormat="1" x14ac:dyDescent="0.15">
      <c r="A10" s="12">
        <f>表紙!AP63</f>
        <v>10205</v>
      </c>
      <c r="B10" s="5" t="s">
        <v>16</v>
      </c>
      <c r="C10" s="5" t="s">
        <v>412</v>
      </c>
      <c r="D10" s="5" t="s">
        <v>229</v>
      </c>
      <c r="E10" s="5" t="s">
        <v>132</v>
      </c>
      <c r="F10" s="5" t="s">
        <v>234</v>
      </c>
      <c r="G10" s="5" t="s">
        <v>236</v>
      </c>
      <c r="H10" s="5" t="s">
        <v>239</v>
      </c>
      <c r="I10" s="5" t="s">
        <v>240</v>
      </c>
      <c r="J10" s="5">
        <v>10</v>
      </c>
      <c r="K10" s="5">
        <v>10</v>
      </c>
      <c r="L10" s="5"/>
      <c r="M10" s="5">
        <v>10</v>
      </c>
      <c r="N10" s="5">
        <v>10</v>
      </c>
      <c r="O10" s="5"/>
      <c r="P10" s="5"/>
      <c r="Q10" s="5"/>
      <c r="R10" s="5" t="s">
        <v>241</v>
      </c>
      <c r="S10" s="6" t="s">
        <v>294</v>
      </c>
    </row>
    <row r="11" spans="1:19" x14ac:dyDescent="0.15">
      <c r="A11" s="12">
        <f>表紙!AP64</f>
        <v>10301</v>
      </c>
      <c r="B11" t="s">
        <v>17</v>
      </c>
      <c r="C11" t="s">
        <v>413</v>
      </c>
      <c r="D11" t="s">
        <v>115</v>
      </c>
      <c r="E11" t="s">
        <v>394</v>
      </c>
      <c r="G11" t="s">
        <v>394</v>
      </c>
      <c r="H11" s="5" t="s">
        <v>238</v>
      </c>
      <c r="I11" s="5" t="s">
        <v>222</v>
      </c>
      <c r="J11" s="5">
        <v>10</v>
      </c>
      <c r="K11" s="5">
        <v>10</v>
      </c>
      <c r="L11" s="5"/>
      <c r="M11" s="5">
        <v>8</v>
      </c>
      <c r="N11" s="5">
        <v>8</v>
      </c>
      <c r="O11" s="5"/>
      <c r="R11" s="5" t="s">
        <v>241</v>
      </c>
      <c r="S11" s="6" t="s">
        <v>294</v>
      </c>
    </row>
    <row r="12" spans="1:19" x14ac:dyDescent="0.15">
      <c r="A12" s="12">
        <f>表紙!AP65</f>
        <v>10302</v>
      </c>
      <c r="B12" t="s">
        <v>17</v>
      </c>
      <c r="C12" t="s">
        <v>414</v>
      </c>
      <c r="D12" t="s">
        <v>115</v>
      </c>
      <c r="E12" t="s">
        <v>394</v>
      </c>
      <c r="G12" t="s">
        <v>394</v>
      </c>
      <c r="H12" s="5" t="s">
        <v>238</v>
      </c>
      <c r="I12" s="5" t="s">
        <v>222</v>
      </c>
      <c r="J12" s="5">
        <v>10</v>
      </c>
      <c r="K12" s="5">
        <v>10</v>
      </c>
      <c r="L12" s="5"/>
      <c r="M12" s="5">
        <v>8</v>
      </c>
      <c r="N12" s="5">
        <v>8</v>
      </c>
      <c r="O12" s="5"/>
      <c r="R12" s="5" t="s">
        <v>241</v>
      </c>
      <c r="S12" s="6" t="s">
        <v>294</v>
      </c>
    </row>
    <row r="13" spans="1:19" x14ac:dyDescent="0.15">
      <c r="A13" s="12">
        <f>表紙!AP66</f>
        <v>10303</v>
      </c>
      <c r="B13" t="s">
        <v>17</v>
      </c>
      <c r="C13" t="s">
        <v>415</v>
      </c>
      <c r="D13" t="s">
        <v>115</v>
      </c>
      <c r="E13" t="s">
        <v>394</v>
      </c>
      <c r="G13" t="s">
        <v>394</v>
      </c>
      <c r="H13" s="5" t="s">
        <v>238</v>
      </c>
      <c r="I13" s="5" t="s">
        <v>222</v>
      </c>
      <c r="J13" s="5">
        <v>10</v>
      </c>
      <c r="K13" s="5">
        <v>10</v>
      </c>
      <c r="L13" s="5"/>
      <c r="M13" s="5">
        <v>8</v>
      </c>
      <c r="N13" s="5">
        <v>8</v>
      </c>
      <c r="O13" s="5"/>
      <c r="R13" s="5" t="s">
        <v>241</v>
      </c>
      <c r="S13" s="6" t="s">
        <v>294</v>
      </c>
    </row>
    <row r="14" spans="1:19" x14ac:dyDescent="0.15">
      <c r="A14" s="12">
        <f>表紙!AP67</f>
        <v>10304</v>
      </c>
      <c r="B14" t="s">
        <v>17</v>
      </c>
      <c r="C14" t="s">
        <v>416</v>
      </c>
      <c r="D14" t="s">
        <v>115</v>
      </c>
      <c r="E14" t="s">
        <v>396</v>
      </c>
      <c r="G14" t="s">
        <v>396</v>
      </c>
      <c r="H14" s="5" t="s">
        <v>238</v>
      </c>
      <c r="I14" s="5" t="s">
        <v>222</v>
      </c>
      <c r="J14" s="5">
        <v>10</v>
      </c>
      <c r="K14" s="5">
        <v>10</v>
      </c>
      <c r="L14" s="5"/>
      <c r="M14" s="5">
        <v>8</v>
      </c>
      <c r="N14" s="5">
        <v>8</v>
      </c>
      <c r="O14" s="5"/>
      <c r="R14" s="5" t="s">
        <v>241</v>
      </c>
      <c r="S14" s="6" t="s">
        <v>294</v>
      </c>
    </row>
    <row r="15" spans="1:19" x14ac:dyDescent="0.15">
      <c r="A15" s="12">
        <f>表紙!AP68</f>
        <v>10305</v>
      </c>
      <c r="B15" t="s">
        <v>17</v>
      </c>
      <c r="C15" t="s">
        <v>417</v>
      </c>
      <c r="D15" t="s">
        <v>115</v>
      </c>
      <c r="E15" t="s">
        <v>394</v>
      </c>
      <c r="G15" t="s">
        <v>394</v>
      </c>
      <c r="H15" s="5" t="s">
        <v>238</v>
      </c>
      <c r="I15" s="5" t="s">
        <v>222</v>
      </c>
      <c r="J15" s="5">
        <v>10</v>
      </c>
      <c r="K15" s="5">
        <v>10</v>
      </c>
      <c r="L15" s="5"/>
      <c r="M15" s="5">
        <v>8</v>
      </c>
      <c r="N15" s="5">
        <v>8</v>
      </c>
      <c r="O15" s="5"/>
      <c r="R15" s="5" t="s">
        <v>241</v>
      </c>
      <c r="S15" s="6" t="s">
        <v>294</v>
      </c>
    </row>
    <row r="16" spans="1:19" x14ac:dyDescent="0.15">
      <c r="A16" s="12">
        <f>表紙!AP69</f>
        <v>10401</v>
      </c>
      <c r="B16" t="s">
        <v>118</v>
      </c>
      <c r="C16" t="s">
        <v>418</v>
      </c>
      <c r="D16" t="s">
        <v>115</v>
      </c>
      <c r="E16" t="s">
        <v>122</v>
      </c>
      <c r="G16" t="s">
        <v>122</v>
      </c>
      <c r="H16" s="5" t="s">
        <v>238</v>
      </c>
      <c r="I16" s="5" t="s">
        <v>222</v>
      </c>
      <c r="J16" s="5">
        <v>10</v>
      </c>
      <c r="K16" s="5">
        <v>10</v>
      </c>
      <c r="L16" s="5"/>
      <c r="M16" s="5">
        <v>8</v>
      </c>
      <c r="N16" s="5">
        <v>8</v>
      </c>
      <c r="O16" s="5"/>
      <c r="R16" s="5" t="s">
        <v>241</v>
      </c>
      <c r="S16" s="6" t="s">
        <v>294</v>
      </c>
    </row>
    <row r="17" spans="1:19" x14ac:dyDescent="0.15">
      <c r="A17" s="12">
        <f>表紙!AP70</f>
        <v>10402</v>
      </c>
      <c r="B17" t="s">
        <v>118</v>
      </c>
      <c r="C17" t="s">
        <v>419</v>
      </c>
      <c r="D17" t="s">
        <v>115</v>
      </c>
      <c r="E17" t="s">
        <v>122</v>
      </c>
      <c r="G17" t="s">
        <v>122</v>
      </c>
      <c r="H17" s="5" t="s">
        <v>238</v>
      </c>
      <c r="I17" s="5" t="s">
        <v>222</v>
      </c>
      <c r="J17" s="5">
        <v>10</v>
      </c>
      <c r="K17" s="5">
        <v>10</v>
      </c>
      <c r="L17" s="5"/>
      <c r="M17" s="5">
        <v>8</v>
      </c>
      <c r="N17" s="5">
        <v>8</v>
      </c>
      <c r="O17" s="5"/>
      <c r="R17" s="5" t="s">
        <v>241</v>
      </c>
      <c r="S17" s="6" t="s">
        <v>294</v>
      </c>
    </row>
    <row r="18" spans="1:19" x14ac:dyDescent="0.15">
      <c r="A18" s="12">
        <f>表紙!AP71</f>
        <v>10501</v>
      </c>
      <c r="B18" t="s">
        <v>19</v>
      </c>
      <c r="C18" t="s">
        <v>420</v>
      </c>
      <c r="D18" t="s">
        <v>120</v>
      </c>
      <c r="E18" t="s">
        <v>116</v>
      </c>
      <c r="G18" t="s">
        <v>116</v>
      </c>
      <c r="H18" s="5" t="s">
        <v>238</v>
      </c>
      <c r="I18" s="5" t="s">
        <v>222</v>
      </c>
      <c r="J18" s="5">
        <v>10</v>
      </c>
      <c r="K18" s="5">
        <v>10</v>
      </c>
      <c r="L18" s="5"/>
      <c r="M18" s="5">
        <v>8</v>
      </c>
      <c r="N18" s="5">
        <v>8</v>
      </c>
      <c r="O18" s="5"/>
      <c r="R18" s="5" t="s">
        <v>241</v>
      </c>
      <c r="S18" s="6" t="s">
        <v>294</v>
      </c>
    </row>
    <row r="19" spans="1:19" x14ac:dyDescent="0.15">
      <c r="A19" s="12">
        <f>表紙!AP72</f>
        <v>10601</v>
      </c>
      <c r="B19" t="s">
        <v>119</v>
      </c>
      <c r="C19" t="s">
        <v>421</v>
      </c>
      <c r="D19" t="s">
        <v>121</v>
      </c>
      <c r="E19">
        <v>0</v>
      </c>
      <c r="G19">
        <v>0</v>
      </c>
      <c r="H19" s="5" t="s">
        <v>238</v>
      </c>
      <c r="I19" s="5" t="s">
        <v>222</v>
      </c>
      <c r="J19" s="5">
        <v>10</v>
      </c>
      <c r="K19" s="5">
        <v>10</v>
      </c>
      <c r="L19" s="5"/>
      <c r="M19" s="5">
        <v>8</v>
      </c>
      <c r="N19" s="5">
        <v>8</v>
      </c>
      <c r="O19" s="5"/>
      <c r="R19" s="5" t="s">
        <v>241</v>
      </c>
      <c r="S19" s="6" t="s">
        <v>294</v>
      </c>
    </row>
    <row r="20" spans="1:19" x14ac:dyDescent="0.15">
      <c r="A20" s="12">
        <f>表紙!AP73</f>
        <v>10701</v>
      </c>
      <c r="B20" t="s">
        <v>125</v>
      </c>
      <c r="C20" t="s">
        <v>588</v>
      </c>
      <c r="D20" t="s">
        <v>126</v>
      </c>
      <c r="E20" t="s">
        <v>127</v>
      </c>
      <c r="F20" t="s">
        <v>586</v>
      </c>
      <c r="G20" t="s">
        <v>128</v>
      </c>
      <c r="H20" s="5" t="s">
        <v>238</v>
      </c>
      <c r="I20" s="5" t="s">
        <v>222</v>
      </c>
      <c r="J20" s="5">
        <v>10</v>
      </c>
      <c r="K20" s="5">
        <v>10</v>
      </c>
      <c r="L20" s="5"/>
      <c r="M20" s="5">
        <v>8</v>
      </c>
      <c r="N20" s="5">
        <v>8</v>
      </c>
      <c r="O20" s="5"/>
      <c r="R20" s="5" t="s">
        <v>241</v>
      </c>
      <c r="S20" s="6" t="s">
        <v>294</v>
      </c>
    </row>
    <row r="21" spans="1:19" x14ac:dyDescent="0.15">
      <c r="A21" s="12">
        <f>表紙!AP74</f>
        <v>10702</v>
      </c>
      <c r="B21" t="s">
        <v>129</v>
      </c>
      <c r="C21" t="s">
        <v>590</v>
      </c>
      <c r="D21" t="s">
        <v>126</v>
      </c>
      <c r="E21" t="s">
        <v>130</v>
      </c>
      <c r="F21" t="s">
        <v>131</v>
      </c>
      <c r="G21" t="s">
        <v>132</v>
      </c>
      <c r="H21" s="5" t="s">
        <v>238</v>
      </c>
      <c r="I21" s="5" t="s">
        <v>222</v>
      </c>
      <c r="J21" s="5">
        <v>10</v>
      </c>
      <c r="K21" s="5">
        <v>10</v>
      </c>
      <c r="L21" s="5"/>
      <c r="M21" s="5">
        <v>8</v>
      </c>
      <c r="N21" s="5">
        <v>8</v>
      </c>
      <c r="O21" s="5"/>
      <c r="R21" s="5" t="s">
        <v>241</v>
      </c>
      <c r="S21" s="6" t="s">
        <v>294</v>
      </c>
    </row>
    <row r="22" spans="1:19" x14ac:dyDescent="0.15">
      <c r="A22" s="12">
        <f>表紙!AP75</f>
        <v>10703</v>
      </c>
      <c r="B22" t="s">
        <v>133</v>
      </c>
      <c r="C22" t="s">
        <v>592</v>
      </c>
      <c r="D22" t="s">
        <v>126</v>
      </c>
      <c r="E22" t="s">
        <v>134</v>
      </c>
      <c r="F22" t="s">
        <v>135</v>
      </c>
      <c r="G22" t="s">
        <v>136</v>
      </c>
      <c r="H22" s="5" t="s">
        <v>238</v>
      </c>
      <c r="I22" s="5" t="s">
        <v>222</v>
      </c>
      <c r="J22" s="5">
        <v>10</v>
      </c>
      <c r="K22" s="5">
        <v>10</v>
      </c>
      <c r="L22" s="5"/>
      <c r="M22" s="5">
        <v>8</v>
      </c>
      <c r="N22" s="5">
        <v>8</v>
      </c>
      <c r="O22" s="5"/>
      <c r="R22" s="5" t="s">
        <v>241</v>
      </c>
      <c r="S22" s="6" t="s">
        <v>294</v>
      </c>
    </row>
    <row r="23" spans="1:19" x14ac:dyDescent="0.15">
      <c r="A23" s="12">
        <f>表紙!AP76</f>
        <v>10704</v>
      </c>
      <c r="B23" t="s">
        <v>137</v>
      </c>
      <c r="C23" t="s">
        <v>594</v>
      </c>
      <c r="D23" t="s">
        <v>126</v>
      </c>
      <c r="E23" t="s">
        <v>134</v>
      </c>
      <c r="G23" t="s">
        <v>130</v>
      </c>
      <c r="H23" s="5" t="s">
        <v>238</v>
      </c>
      <c r="I23" s="5" t="s">
        <v>222</v>
      </c>
      <c r="J23" s="5">
        <v>10</v>
      </c>
      <c r="K23" s="5">
        <v>10</v>
      </c>
      <c r="L23" s="5"/>
      <c r="M23" s="5">
        <v>8</v>
      </c>
      <c r="N23" s="5">
        <v>8</v>
      </c>
      <c r="O23" s="5"/>
      <c r="R23" s="5" t="s">
        <v>241</v>
      </c>
      <c r="S23" s="6" t="s">
        <v>294</v>
      </c>
    </row>
    <row r="24" spans="1:19" x14ac:dyDescent="0.15">
      <c r="A24" s="12">
        <f>表紙!AP77</f>
        <v>20101</v>
      </c>
      <c r="B24" t="s">
        <v>138</v>
      </c>
      <c r="C24" t="s">
        <v>422</v>
      </c>
      <c r="D24" t="s">
        <v>120</v>
      </c>
      <c r="E24">
        <v>15</v>
      </c>
      <c r="F24">
        <v>25</v>
      </c>
      <c r="G24">
        <v>40</v>
      </c>
      <c r="H24">
        <v>30</v>
      </c>
      <c r="I24" s="5" t="s">
        <v>242</v>
      </c>
      <c r="J24" s="5">
        <v>30</v>
      </c>
      <c r="K24" s="5">
        <v>30</v>
      </c>
      <c r="L24" s="5"/>
      <c r="M24" s="5">
        <v>30</v>
      </c>
      <c r="N24" s="5">
        <v>15</v>
      </c>
      <c r="O24" s="5">
        <v>15</v>
      </c>
      <c r="R24" s="5" t="s">
        <v>243</v>
      </c>
      <c r="S24">
        <v>4</v>
      </c>
    </row>
    <row r="25" spans="1:19" x14ac:dyDescent="0.15">
      <c r="A25" s="12">
        <f>表紙!AP78</f>
        <v>20102</v>
      </c>
      <c r="B25" t="s">
        <v>139</v>
      </c>
      <c r="C25" t="s">
        <v>423</v>
      </c>
      <c r="D25" t="s">
        <v>120</v>
      </c>
      <c r="E25">
        <v>15</v>
      </c>
      <c r="F25">
        <v>25</v>
      </c>
      <c r="G25">
        <v>40</v>
      </c>
      <c r="H25">
        <v>30</v>
      </c>
      <c r="I25" s="5" t="s">
        <v>242</v>
      </c>
      <c r="J25" s="5">
        <v>30</v>
      </c>
      <c r="K25" s="5">
        <v>30</v>
      </c>
      <c r="L25" s="5"/>
      <c r="M25" s="5">
        <v>30</v>
      </c>
      <c r="N25" s="5">
        <v>15</v>
      </c>
      <c r="O25" s="5">
        <v>15</v>
      </c>
      <c r="S25">
        <v>4</v>
      </c>
    </row>
    <row r="26" spans="1:19" x14ac:dyDescent="0.15">
      <c r="A26" s="12">
        <f>表紙!AP79</f>
        <v>20201</v>
      </c>
      <c r="B26" t="s">
        <v>140</v>
      </c>
      <c r="C26" t="s">
        <v>424</v>
      </c>
      <c r="D26" t="s">
        <v>120</v>
      </c>
      <c r="E26">
        <v>12</v>
      </c>
      <c r="F26">
        <v>18</v>
      </c>
      <c r="G26">
        <v>30</v>
      </c>
      <c r="H26">
        <v>30</v>
      </c>
      <c r="I26" s="5" t="s">
        <v>244</v>
      </c>
      <c r="J26" s="5">
        <v>30</v>
      </c>
      <c r="K26" s="5">
        <v>30</v>
      </c>
      <c r="L26" s="5"/>
      <c r="M26" s="5">
        <v>30</v>
      </c>
      <c r="N26" s="5">
        <v>12</v>
      </c>
      <c r="O26" s="5">
        <v>18</v>
      </c>
      <c r="S26">
        <v>4</v>
      </c>
    </row>
    <row r="27" spans="1:19" x14ac:dyDescent="0.15">
      <c r="A27" s="12">
        <f>表紙!AP80</f>
        <v>20202</v>
      </c>
      <c r="B27" t="s">
        <v>141</v>
      </c>
      <c r="C27" t="s">
        <v>425</v>
      </c>
      <c r="D27" t="s">
        <v>120</v>
      </c>
      <c r="E27">
        <v>15</v>
      </c>
      <c r="F27">
        <v>12</v>
      </c>
      <c r="G27">
        <v>27</v>
      </c>
      <c r="H27">
        <v>25</v>
      </c>
      <c r="I27" s="5" t="s">
        <v>245</v>
      </c>
      <c r="J27" s="5">
        <v>25</v>
      </c>
      <c r="K27" s="5">
        <v>25</v>
      </c>
      <c r="L27" s="5"/>
      <c r="M27" s="5">
        <v>27</v>
      </c>
      <c r="N27" s="5">
        <v>15</v>
      </c>
      <c r="O27" s="5">
        <v>12</v>
      </c>
      <c r="S27">
        <v>4</v>
      </c>
    </row>
    <row r="28" spans="1:19" x14ac:dyDescent="0.15">
      <c r="A28" s="12">
        <f>表紙!AP81</f>
        <v>20301</v>
      </c>
      <c r="B28" t="s">
        <v>142</v>
      </c>
      <c r="C28" t="s">
        <v>426</v>
      </c>
      <c r="D28" t="s">
        <v>120</v>
      </c>
      <c r="E28">
        <v>12</v>
      </c>
      <c r="F28">
        <v>18</v>
      </c>
      <c r="G28">
        <v>30</v>
      </c>
      <c r="H28">
        <v>30</v>
      </c>
      <c r="I28" s="5" t="s">
        <v>244</v>
      </c>
      <c r="J28" s="5">
        <v>30</v>
      </c>
      <c r="K28" s="5">
        <v>30</v>
      </c>
      <c r="L28" s="5"/>
      <c r="M28" s="5">
        <v>30</v>
      </c>
      <c r="N28" s="5">
        <v>12</v>
      </c>
      <c r="O28" s="5">
        <v>18</v>
      </c>
      <c r="S28">
        <v>4</v>
      </c>
    </row>
    <row r="29" spans="1:19" x14ac:dyDescent="0.15">
      <c r="A29" s="12">
        <f>表紙!AP82</f>
        <v>20401</v>
      </c>
      <c r="B29" t="s">
        <v>143</v>
      </c>
      <c r="C29" t="s">
        <v>427</v>
      </c>
      <c r="D29" t="s">
        <v>120</v>
      </c>
      <c r="E29">
        <v>15</v>
      </c>
      <c r="F29">
        <v>18</v>
      </c>
      <c r="G29">
        <v>33</v>
      </c>
      <c r="H29">
        <v>30</v>
      </c>
      <c r="I29" s="5" t="s">
        <v>242</v>
      </c>
      <c r="J29" s="5">
        <v>30</v>
      </c>
      <c r="K29" s="5">
        <v>30</v>
      </c>
      <c r="L29" s="5"/>
      <c r="M29" s="5">
        <v>30</v>
      </c>
      <c r="N29" s="5">
        <v>15</v>
      </c>
      <c r="O29" s="5">
        <v>15</v>
      </c>
      <c r="S29">
        <v>4</v>
      </c>
    </row>
    <row r="30" spans="1:19" x14ac:dyDescent="0.15">
      <c r="A30" s="12">
        <f>表紙!AP83</f>
        <v>20402</v>
      </c>
      <c r="B30" t="s">
        <v>144</v>
      </c>
      <c r="C30" t="s">
        <v>428</v>
      </c>
      <c r="D30" t="s">
        <v>120</v>
      </c>
      <c r="E30">
        <v>15</v>
      </c>
      <c r="F30">
        <v>15</v>
      </c>
      <c r="G30">
        <v>30</v>
      </c>
      <c r="H30">
        <v>30</v>
      </c>
      <c r="I30" s="5" t="s">
        <v>242</v>
      </c>
      <c r="J30" s="5">
        <v>30</v>
      </c>
      <c r="K30" s="5">
        <v>30</v>
      </c>
      <c r="L30" s="5"/>
      <c r="M30" s="5">
        <v>30</v>
      </c>
      <c r="N30" s="5">
        <v>15</v>
      </c>
      <c r="O30" s="5">
        <v>15</v>
      </c>
      <c r="S30">
        <v>4</v>
      </c>
    </row>
    <row r="31" spans="1:19" x14ac:dyDescent="0.15">
      <c r="A31" s="12">
        <f>表紙!AP84</f>
        <v>20501</v>
      </c>
      <c r="B31" t="s">
        <v>145</v>
      </c>
      <c r="C31" t="s">
        <v>519</v>
      </c>
      <c r="D31" t="s">
        <v>120</v>
      </c>
      <c r="E31">
        <v>13</v>
      </c>
      <c r="F31">
        <v>6</v>
      </c>
      <c r="G31">
        <v>19</v>
      </c>
      <c r="H31">
        <v>17</v>
      </c>
      <c r="I31" s="5" t="s">
        <v>246</v>
      </c>
      <c r="J31" s="5">
        <v>17</v>
      </c>
      <c r="K31" s="5">
        <v>17</v>
      </c>
      <c r="L31" s="5"/>
      <c r="M31" s="5">
        <v>19</v>
      </c>
      <c r="N31" s="5">
        <v>13</v>
      </c>
      <c r="O31" s="5">
        <v>6</v>
      </c>
      <c r="S31">
        <v>3</v>
      </c>
    </row>
    <row r="32" spans="1:19" x14ac:dyDescent="0.15">
      <c r="A32" s="12">
        <f>表紙!AP85</f>
        <v>20502</v>
      </c>
      <c r="B32" t="s">
        <v>146</v>
      </c>
      <c r="C32" t="s">
        <v>520</v>
      </c>
      <c r="D32" t="s">
        <v>120</v>
      </c>
      <c r="E32">
        <v>11</v>
      </c>
      <c r="F32">
        <v>6</v>
      </c>
      <c r="G32">
        <v>17</v>
      </c>
      <c r="H32">
        <v>17</v>
      </c>
      <c r="I32" s="5" t="s">
        <v>247</v>
      </c>
      <c r="J32" s="5">
        <v>17</v>
      </c>
      <c r="K32" s="5">
        <v>17</v>
      </c>
      <c r="L32" s="5"/>
      <c r="M32" s="5">
        <v>17</v>
      </c>
      <c r="N32" s="5">
        <v>11</v>
      </c>
      <c r="O32" s="5">
        <v>6</v>
      </c>
      <c r="S32">
        <v>3</v>
      </c>
    </row>
    <row r="33" spans="1:19" x14ac:dyDescent="0.15">
      <c r="A33" s="12">
        <f>表紙!AP86</f>
        <v>20601</v>
      </c>
      <c r="B33" t="s">
        <v>147</v>
      </c>
      <c r="C33" t="s">
        <v>429</v>
      </c>
      <c r="D33" t="s">
        <v>120</v>
      </c>
      <c r="E33">
        <v>15</v>
      </c>
      <c r="F33">
        <v>15</v>
      </c>
      <c r="G33">
        <v>30</v>
      </c>
      <c r="H33">
        <v>25</v>
      </c>
      <c r="I33" s="5" t="s">
        <v>242</v>
      </c>
      <c r="J33" s="5">
        <v>25</v>
      </c>
      <c r="K33" s="5">
        <v>25</v>
      </c>
      <c r="L33" s="5"/>
      <c r="M33" s="5">
        <v>30</v>
      </c>
      <c r="N33" s="5">
        <v>15</v>
      </c>
      <c r="O33" s="5">
        <v>15</v>
      </c>
      <c r="S33">
        <v>4</v>
      </c>
    </row>
    <row r="34" spans="1:19" x14ac:dyDescent="0.15">
      <c r="A34" s="12">
        <f>表紙!AP87</f>
        <v>20701</v>
      </c>
      <c r="B34" t="s">
        <v>148</v>
      </c>
      <c r="C34" t="s">
        <v>430</v>
      </c>
      <c r="D34" t="s">
        <v>120</v>
      </c>
      <c r="E34">
        <v>10</v>
      </c>
      <c r="F34">
        <v>5</v>
      </c>
      <c r="G34">
        <v>15</v>
      </c>
      <c r="H34">
        <v>15</v>
      </c>
      <c r="I34" s="5" t="s">
        <v>248</v>
      </c>
      <c r="J34" s="5">
        <v>15</v>
      </c>
      <c r="K34" s="5">
        <v>15</v>
      </c>
      <c r="L34" s="5"/>
      <c r="M34" s="5">
        <v>15</v>
      </c>
      <c r="N34" s="5">
        <v>10</v>
      </c>
      <c r="O34" s="5">
        <v>5</v>
      </c>
      <c r="S34">
        <v>2</v>
      </c>
    </row>
    <row r="35" spans="1:19" x14ac:dyDescent="0.15">
      <c r="A35" s="12">
        <f>表紙!AP88</f>
        <v>20801</v>
      </c>
      <c r="B35" t="s">
        <v>149</v>
      </c>
      <c r="C35" t="s">
        <v>431</v>
      </c>
      <c r="D35" t="s">
        <v>120</v>
      </c>
      <c r="E35">
        <v>10</v>
      </c>
      <c r="F35">
        <v>0</v>
      </c>
      <c r="G35">
        <v>10</v>
      </c>
      <c r="H35">
        <v>15</v>
      </c>
      <c r="I35">
        <v>15</v>
      </c>
      <c r="J35" s="5">
        <v>15</v>
      </c>
      <c r="K35" s="5">
        <v>15</v>
      </c>
      <c r="L35" s="5"/>
      <c r="M35" s="5">
        <v>15</v>
      </c>
      <c r="N35" s="5">
        <v>15</v>
      </c>
      <c r="O35" s="5"/>
      <c r="S35">
        <v>2</v>
      </c>
    </row>
    <row r="36" spans="1:19" x14ac:dyDescent="0.15">
      <c r="A36" s="12">
        <f>表紙!AP89</f>
        <v>20802</v>
      </c>
      <c r="B36" t="s">
        <v>150</v>
      </c>
      <c r="C36" t="s">
        <v>521</v>
      </c>
      <c r="D36" t="s">
        <v>120</v>
      </c>
      <c r="E36">
        <v>10</v>
      </c>
      <c r="F36">
        <v>0</v>
      </c>
      <c r="G36">
        <v>10</v>
      </c>
      <c r="H36">
        <v>15</v>
      </c>
      <c r="I36">
        <v>15</v>
      </c>
      <c r="J36" s="5">
        <v>15</v>
      </c>
      <c r="K36" s="5">
        <v>15</v>
      </c>
      <c r="L36" s="5"/>
      <c r="M36" s="5">
        <v>15</v>
      </c>
      <c r="N36" s="5">
        <v>15</v>
      </c>
      <c r="O36" s="5"/>
      <c r="S36">
        <v>2</v>
      </c>
    </row>
    <row r="37" spans="1:19" x14ac:dyDescent="0.15">
      <c r="A37" s="12">
        <f>表紙!AP90</f>
        <v>20901</v>
      </c>
      <c r="B37" t="s">
        <v>40</v>
      </c>
      <c r="C37" t="s">
        <v>432</v>
      </c>
      <c r="D37" t="s">
        <v>126</v>
      </c>
      <c r="E37">
        <v>15</v>
      </c>
      <c r="F37">
        <v>8</v>
      </c>
      <c r="G37">
        <v>23</v>
      </c>
      <c r="H37">
        <v>20</v>
      </c>
      <c r="I37" s="5" t="s">
        <v>249</v>
      </c>
      <c r="J37" s="5">
        <v>20</v>
      </c>
      <c r="K37" s="5">
        <v>20</v>
      </c>
      <c r="L37" s="5"/>
      <c r="M37" s="5">
        <v>23</v>
      </c>
      <c r="N37" s="5">
        <v>15</v>
      </c>
      <c r="O37" s="5">
        <v>8</v>
      </c>
      <c r="S37">
        <v>2</v>
      </c>
    </row>
    <row r="38" spans="1:19" x14ac:dyDescent="0.15">
      <c r="A38" s="12">
        <f>表紙!AP91</f>
        <v>21001</v>
      </c>
      <c r="B38" t="s">
        <v>39</v>
      </c>
      <c r="C38" t="s">
        <v>433</v>
      </c>
      <c r="D38" t="s">
        <v>151</v>
      </c>
      <c r="E38">
        <v>5</v>
      </c>
      <c r="F38">
        <v>0</v>
      </c>
      <c r="G38">
        <v>5</v>
      </c>
      <c r="H38">
        <v>15</v>
      </c>
      <c r="I38">
        <v>5</v>
      </c>
      <c r="J38" s="5">
        <v>15</v>
      </c>
      <c r="K38" s="5">
        <v>15</v>
      </c>
      <c r="L38" s="5"/>
      <c r="M38" s="5">
        <v>5</v>
      </c>
      <c r="N38" s="5">
        <v>5</v>
      </c>
      <c r="O38" s="5"/>
      <c r="S38">
        <v>2</v>
      </c>
    </row>
    <row r="39" spans="1:19" x14ac:dyDescent="0.15">
      <c r="A39" s="12">
        <f>表紙!AP92</f>
        <v>21002</v>
      </c>
      <c r="B39" t="s">
        <v>39</v>
      </c>
      <c r="C39" t="s">
        <v>434</v>
      </c>
      <c r="D39" t="s">
        <v>151</v>
      </c>
      <c r="E39">
        <v>8</v>
      </c>
      <c r="F39">
        <v>0</v>
      </c>
      <c r="G39">
        <v>8</v>
      </c>
      <c r="H39">
        <v>15</v>
      </c>
      <c r="I39">
        <v>8</v>
      </c>
      <c r="J39" s="5">
        <v>15</v>
      </c>
      <c r="K39" s="5">
        <v>15</v>
      </c>
      <c r="L39" s="5"/>
      <c r="M39" s="5">
        <v>8</v>
      </c>
      <c r="N39" s="5">
        <v>8</v>
      </c>
      <c r="O39" s="5"/>
      <c r="S39">
        <v>2</v>
      </c>
    </row>
    <row r="40" spans="1:19" x14ac:dyDescent="0.15">
      <c r="A40" s="12">
        <f>表紙!AP93</f>
        <v>21101</v>
      </c>
      <c r="B40" t="s">
        <v>152</v>
      </c>
      <c r="C40" t="s">
        <v>522</v>
      </c>
      <c r="D40" t="s">
        <v>151</v>
      </c>
      <c r="E40">
        <v>13</v>
      </c>
      <c r="F40">
        <v>5</v>
      </c>
      <c r="G40">
        <v>18</v>
      </c>
      <c r="H40">
        <v>20</v>
      </c>
      <c r="I40" t="s">
        <v>250</v>
      </c>
      <c r="J40" s="5">
        <v>20</v>
      </c>
      <c r="K40" s="5">
        <v>20</v>
      </c>
      <c r="L40" s="5"/>
      <c r="M40" s="5">
        <v>18</v>
      </c>
      <c r="N40" s="5">
        <v>15</v>
      </c>
      <c r="O40" s="5">
        <v>3</v>
      </c>
      <c r="S40">
        <v>2</v>
      </c>
    </row>
    <row r="41" spans="1:19" x14ac:dyDescent="0.15">
      <c r="A41" s="12">
        <f>表紙!AP94</f>
        <v>21201</v>
      </c>
      <c r="B41" t="s">
        <v>153</v>
      </c>
      <c r="C41" t="s">
        <v>523</v>
      </c>
      <c r="D41" t="s">
        <v>120</v>
      </c>
      <c r="E41">
        <v>7</v>
      </c>
      <c r="F41">
        <v>15</v>
      </c>
      <c r="G41">
        <v>22</v>
      </c>
      <c r="H41">
        <v>25</v>
      </c>
      <c r="I41" t="s">
        <v>251</v>
      </c>
      <c r="J41" s="5">
        <v>25</v>
      </c>
      <c r="K41" s="5">
        <v>25</v>
      </c>
      <c r="L41" s="5"/>
      <c r="M41" s="5">
        <v>22</v>
      </c>
      <c r="N41" s="5">
        <v>7</v>
      </c>
      <c r="O41" s="5">
        <v>15</v>
      </c>
      <c r="S41">
        <v>3</v>
      </c>
    </row>
    <row r="42" spans="1:19" x14ac:dyDescent="0.15">
      <c r="A42" s="12">
        <f>表紙!AP95</f>
        <v>21301</v>
      </c>
      <c r="B42" t="s">
        <v>154</v>
      </c>
      <c r="C42" t="s">
        <v>435</v>
      </c>
      <c r="D42" t="s">
        <v>120</v>
      </c>
      <c r="E42">
        <v>14</v>
      </c>
      <c r="F42">
        <v>6</v>
      </c>
      <c r="G42">
        <v>20</v>
      </c>
      <c r="H42">
        <v>30</v>
      </c>
      <c r="I42" t="s">
        <v>252</v>
      </c>
      <c r="J42" s="5">
        <v>30</v>
      </c>
      <c r="K42" s="5">
        <v>30</v>
      </c>
      <c r="L42" s="5"/>
      <c r="M42" s="5">
        <v>22</v>
      </c>
      <c r="N42" s="5">
        <v>16</v>
      </c>
      <c r="O42" s="5">
        <v>6</v>
      </c>
      <c r="S42">
        <v>3</v>
      </c>
    </row>
    <row r="43" spans="1:19" x14ac:dyDescent="0.15">
      <c r="A43" s="12">
        <f>表紙!AP96</f>
        <v>21401</v>
      </c>
      <c r="B43" t="s">
        <v>155</v>
      </c>
      <c r="C43" t="s">
        <v>524</v>
      </c>
      <c r="D43" t="s">
        <v>126</v>
      </c>
      <c r="E43">
        <v>7</v>
      </c>
      <c r="F43">
        <v>3</v>
      </c>
      <c r="G43">
        <v>10</v>
      </c>
      <c r="H43">
        <v>15</v>
      </c>
      <c r="I43" t="s">
        <v>248</v>
      </c>
      <c r="J43" s="5">
        <v>15</v>
      </c>
      <c r="K43" s="5">
        <v>15</v>
      </c>
      <c r="L43" s="5"/>
      <c r="M43" s="5">
        <v>15</v>
      </c>
      <c r="N43" s="5">
        <v>10</v>
      </c>
      <c r="O43" s="5">
        <v>5</v>
      </c>
      <c r="S43">
        <v>2</v>
      </c>
    </row>
    <row r="44" spans="1:19" x14ac:dyDescent="0.15">
      <c r="A44" s="12">
        <f>表紙!AP97</f>
        <v>21501</v>
      </c>
      <c r="B44" t="s">
        <v>156</v>
      </c>
      <c r="C44" t="s">
        <v>525</v>
      </c>
      <c r="D44" t="s">
        <v>120</v>
      </c>
      <c r="E44">
        <v>15</v>
      </c>
      <c r="F44">
        <v>10</v>
      </c>
      <c r="G44">
        <v>25</v>
      </c>
      <c r="H44">
        <v>25</v>
      </c>
      <c r="I44" t="s">
        <v>253</v>
      </c>
      <c r="J44" s="5">
        <v>25</v>
      </c>
      <c r="K44" s="5">
        <v>25</v>
      </c>
      <c r="L44" s="5"/>
      <c r="M44" s="5">
        <v>25</v>
      </c>
      <c r="N44" s="5">
        <v>15</v>
      </c>
      <c r="O44" s="5">
        <v>10</v>
      </c>
      <c r="S44">
        <v>3</v>
      </c>
    </row>
    <row r="45" spans="1:19" x14ac:dyDescent="0.15">
      <c r="A45" s="12">
        <f>表紙!AP98</f>
        <v>21601</v>
      </c>
      <c r="B45" t="s">
        <v>157</v>
      </c>
      <c r="C45" t="s">
        <v>526</v>
      </c>
      <c r="D45" t="s">
        <v>121</v>
      </c>
      <c r="E45">
        <v>15</v>
      </c>
      <c r="F45">
        <v>10</v>
      </c>
      <c r="G45">
        <v>25</v>
      </c>
      <c r="H45">
        <v>30</v>
      </c>
      <c r="I45" t="s">
        <v>253</v>
      </c>
      <c r="J45" s="5">
        <v>30</v>
      </c>
      <c r="K45" s="5">
        <v>30</v>
      </c>
      <c r="L45" s="5"/>
      <c r="M45" s="5">
        <v>25</v>
      </c>
      <c r="N45" s="5">
        <v>15</v>
      </c>
      <c r="O45" s="5">
        <v>10</v>
      </c>
      <c r="S45">
        <v>2</v>
      </c>
    </row>
    <row r="46" spans="1:19" x14ac:dyDescent="0.15">
      <c r="A46" s="12">
        <f>表紙!AP99</f>
        <v>21701</v>
      </c>
      <c r="B46" t="s">
        <v>158</v>
      </c>
      <c r="C46" t="s">
        <v>436</v>
      </c>
      <c r="D46" t="s">
        <v>159</v>
      </c>
      <c r="E46">
        <v>12</v>
      </c>
      <c r="F46">
        <v>6</v>
      </c>
      <c r="G46">
        <v>18</v>
      </c>
      <c r="H46">
        <v>20</v>
      </c>
      <c r="I46" t="s">
        <v>254</v>
      </c>
      <c r="J46" s="5">
        <v>20</v>
      </c>
      <c r="K46" s="5">
        <v>20</v>
      </c>
      <c r="L46" s="5"/>
      <c r="M46" s="5">
        <v>16</v>
      </c>
      <c r="N46" s="5">
        <v>10</v>
      </c>
      <c r="O46" s="5">
        <v>6</v>
      </c>
      <c r="S46">
        <v>2</v>
      </c>
    </row>
    <row r="47" spans="1:19" x14ac:dyDescent="0.15">
      <c r="A47" s="12">
        <f>表紙!AP100</f>
        <v>21702</v>
      </c>
      <c r="B47" t="s">
        <v>158</v>
      </c>
      <c r="C47" t="s">
        <v>437</v>
      </c>
      <c r="D47" t="s">
        <v>159</v>
      </c>
      <c r="E47">
        <v>10</v>
      </c>
      <c r="F47">
        <v>6</v>
      </c>
      <c r="G47">
        <v>16</v>
      </c>
      <c r="H47">
        <v>20</v>
      </c>
      <c r="I47" t="s">
        <v>255</v>
      </c>
      <c r="J47" s="5">
        <v>20</v>
      </c>
      <c r="K47" s="5">
        <v>20</v>
      </c>
      <c r="L47" s="5"/>
      <c r="M47" s="5">
        <v>16</v>
      </c>
      <c r="N47" s="5">
        <v>10</v>
      </c>
      <c r="O47" s="5">
        <v>6</v>
      </c>
      <c r="S47">
        <v>2</v>
      </c>
    </row>
    <row r="48" spans="1:19" x14ac:dyDescent="0.15">
      <c r="A48" s="12">
        <f>表紙!AP101</f>
        <v>21801</v>
      </c>
      <c r="B48" t="s">
        <v>160</v>
      </c>
      <c r="C48" t="s">
        <v>527</v>
      </c>
      <c r="D48" t="s">
        <v>159</v>
      </c>
      <c r="E48">
        <v>12</v>
      </c>
      <c r="F48">
        <v>6</v>
      </c>
      <c r="G48">
        <v>18</v>
      </c>
      <c r="H48">
        <v>20</v>
      </c>
      <c r="I48" t="s">
        <v>256</v>
      </c>
      <c r="J48" s="5">
        <v>20</v>
      </c>
      <c r="K48" s="5">
        <v>20</v>
      </c>
      <c r="L48" s="5"/>
      <c r="M48" s="5">
        <v>18</v>
      </c>
      <c r="N48" s="5">
        <v>12</v>
      </c>
      <c r="O48" s="5">
        <v>6</v>
      </c>
      <c r="S48">
        <v>2</v>
      </c>
    </row>
    <row r="49" spans="1:19" x14ac:dyDescent="0.15">
      <c r="A49" s="12">
        <f>表紙!AP102</f>
        <v>21901</v>
      </c>
      <c r="B49" t="s">
        <v>161</v>
      </c>
      <c r="C49" t="s">
        <v>438</v>
      </c>
      <c r="D49" t="s">
        <v>159</v>
      </c>
      <c r="E49">
        <v>12</v>
      </c>
      <c r="F49">
        <v>0</v>
      </c>
      <c r="G49">
        <v>12</v>
      </c>
      <c r="H49">
        <v>20</v>
      </c>
      <c r="I49">
        <v>12</v>
      </c>
      <c r="J49" s="5">
        <v>20</v>
      </c>
      <c r="K49" s="5">
        <v>20</v>
      </c>
      <c r="L49" s="5"/>
      <c r="M49" s="5">
        <v>12</v>
      </c>
      <c r="N49" s="5">
        <v>12</v>
      </c>
      <c r="O49" s="5"/>
      <c r="S49">
        <v>2</v>
      </c>
    </row>
    <row r="50" spans="1:19" x14ac:dyDescent="0.15">
      <c r="A50" s="12">
        <f>表紙!AP103</f>
        <v>21902</v>
      </c>
      <c r="B50" t="s">
        <v>162</v>
      </c>
      <c r="C50" t="s">
        <v>439</v>
      </c>
      <c r="D50" t="s">
        <v>159</v>
      </c>
      <c r="E50">
        <v>12</v>
      </c>
      <c r="F50">
        <v>0</v>
      </c>
      <c r="G50">
        <v>12</v>
      </c>
      <c r="H50">
        <v>20</v>
      </c>
      <c r="I50">
        <v>12</v>
      </c>
      <c r="J50" s="5">
        <v>20</v>
      </c>
      <c r="K50" s="5">
        <v>20</v>
      </c>
      <c r="L50" s="5"/>
      <c r="M50" s="5">
        <v>12</v>
      </c>
      <c r="N50" s="5">
        <v>12</v>
      </c>
      <c r="O50" s="5"/>
      <c r="S50">
        <v>2</v>
      </c>
    </row>
    <row r="51" spans="1:19" x14ac:dyDescent="0.15">
      <c r="A51" s="12">
        <f>表紙!AP104</f>
        <v>21903</v>
      </c>
      <c r="B51" t="s">
        <v>162</v>
      </c>
      <c r="C51" t="s">
        <v>528</v>
      </c>
      <c r="D51" t="s">
        <v>159</v>
      </c>
      <c r="E51">
        <v>10</v>
      </c>
      <c r="F51">
        <v>0</v>
      </c>
      <c r="G51">
        <v>10</v>
      </c>
      <c r="H51">
        <v>20</v>
      </c>
      <c r="I51">
        <v>10</v>
      </c>
      <c r="J51" s="5">
        <v>20</v>
      </c>
      <c r="K51" s="5">
        <v>20</v>
      </c>
      <c r="L51" s="5"/>
      <c r="M51" s="5">
        <v>10</v>
      </c>
      <c r="N51" s="5">
        <v>10</v>
      </c>
      <c r="O51" s="5"/>
      <c r="S51">
        <v>2</v>
      </c>
    </row>
    <row r="52" spans="1:19" x14ac:dyDescent="0.15">
      <c r="A52" s="12">
        <f>表紙!AP105</f>
        <v>22001</v>
      </c>
      <c r="B52" t="s">
        <v>163</v>
      </c>
      <c r="C52" t="s">
        <v>529</v>
      </c>
      <c r="D52" t="s">
        <v>159</v>
      </c>
      <c r="E52">
        <v>10</v>
      </c>
      <c r="F52">
        <v>0</v>
      </c>
      <c r="G52">
        <v>10</v>
      </c>
      <c r="H52">
        <v>18</v>
      </c>
      <c r="I52">
        <v>10</v>
      </c>
      <c r="J52" s="5">
        <v>18</v>
      </c>
      <c r="K52" s="5">
        <v>18</v>
      </c>
      <c r="L52" s="5"/>
      <c r="M52" s="5">
        <v>10</v>
      </c>
      <c r="N52" s="5">
        <v>10</v>
      </c>
      <c r="O52" s="5"/>
      <c r="S52">
        <v>2</v>
      </c>
    </row>
    <row r="53" spans="1:19" x14ac:dyDescent="0.15">
      <c r="A53" s="12">
        <f>表紙!AP106</f>
        <v>22101</v>
      </c>
      <c r="B53" t="s">
        <v>164</v>
      </c>
      <c r="C53" t="s">
        <v>440</v>
      </c>
      <c r="D53" t="s">
        <v>120</v>
      </c>
      <c r="E53">
        <v>10</v>
      </c>
      <c r="G53">
        <v>10</v>
      </c>
      <c r="H53">
        <v>10</v>
      </c>
      <c r="I53">
        <v>10</v>
      </c>
      <c r="J53" s="5">
        <v>10</v>
      </c>
      <c r="K53" s="5">
        <v>10</v>
      </c>
      <c r="L53" s="5"/>
      <c r="M53" s="5">
        <v>10</v>
      </c>
      <c r="N53" s="5">
        <v>10</v>
      </c>
      <c r="O53" s="5"/>
      <c r="S53">
        <v>3</v>
      </c>
    </row>
    <row r="54" spans="1:19" x14ac:dyDescent="0.15">
      <c r="A54" s="12">
        <f>表紙!AP107</f>
        <v>22102</v>
      </c>
      <c r="B54" t="s">
        <v>164</v>
      </c>
      <c r="C54" t="s">
        <v>441</v>
      </c>
      <c r="D54" t="s">
        <v>120</v>
      </c>
      <c r="E54">
        <v>15</v>
      </c>
      <c r="F54">
        <v>3</v>
      </c>
      <c r="G54">
        <v>18</v>
      </c>
      <c r="H54">
        <v>15</v>
      </c>
      <c r="I54" t="s">
        <v>250</v>
      </c>
      <c r="J54" s="5">
        <v>15</v>
      </c>
      <c r="K54" s="5">
        <v>15</v>
      </c>
      <c r="L54" s="5"/>
      <c r="M54" s="5">
        <v>18</v>
      </c>
      <c r="N54" s="5">
        <v>15</v>
      </c>
      <c r="O54" s="5">
        <v>3</v>
      </c>
      <c r="S54">
        <v>3</v>
      </c>
    </row>
    <row r="55" spans="1:19" x14ac:dyDescent="0.15">
      <c r="A55" s="12">
        <f>表紙!AP108</f>
        <v>22103</v>
      </c>
      <c r="B55" t="s">
        <v>164</v>
      </c>
      <c r="C55" t="s">
        <v>442</v>
      </c>
      <c r="D55" t="s">
        <v>120</v>
      </c>
      <c r="E55">
        <v>18</v>
      </c>
      <c r="F55">
        <v>3</v>
      </c>
      <c r="G55">
        <v>21</v>
      </c>
      <c r="H55">
        <v>18</v>
      </c>
      <c r="I55" t="s">
        <v>257</v>
      </c>
      <c r="J55" s="5">
        <v>18</v>
      </c>
      <c r="K55" s="5">
        <v>18</v>
      </c>
      <c r="L55" s="5"/>
      <c r="M55" s="5">
        <v>21</v>
      </c>
      <c r="N55" s="5">
        <v>18</v>
      </c>
      <c r="O55" s="5">
        <v>3</v>
      </c>
      <c r="S55">
        <v>3</v>
      </c>
    </row>
    <row r="56" spans="1:19" x14ac:dyDescent="0.15">
      <c r="A56" s="12">
        <f>表紙!AP109</f>
        <v>22104</v>
      </c>
      <c r="B56" t="s">
        <v>164</v>
      </c>
      <c r="C56" t="s">
        <v>443</v>
      </c>
      <c r="D56" t="s">
        <v>120</v>
      </c>
      <c r="E56">
        <v>18</v>
      </c>
      <c r="F56">
        <v>7</v>
      </c>
      <c r="G56">
        <v>25</v>
      </c>
      <c r="H56">
        <v>18</v>
      </c>
      <c r="I56" t="s">
        <v>258</v>
      </c>
      <c r="J56" s="5">
        <v>18</v>
      </c>
      <c r="K56" s="5">
        <v>18</v>
      </c>
      <c r="L56" s="5"/>
      <c r="M56" s="5">
        <v>25</v>
      </c>
      <c r="N56" s="5">
        <v>18</v>
      </c>
      <c r="O56" s="5">
        <v>7</v>
      </c>
      <c r="S56">
        <v>3</v>
      </c>
    </row>
    <row r="57" spans="1:19" x14ac:dyDescent="0.15">
      <c r="A57" s="12">
        <f>表紙!AP110</f>
        <v>22105</v>
      </c>
      <c r="B57" t="s">
        <v>164</v>
      </c>
      <c r="C57" t="s">
        <v>444</v>
      </c>
      <c r="D57" t="s">
        <v>120</v>
      </c>
      <c r="E57">
        <v>30</v>
      </c>
      <c r="G57">
        <v>30</v>
      </c>
      <c r="H57">
        <v>15</v>
      </c>
      <c r="I57">
        <v>20</v>
      </c>
      <c r="J57" s="5">
        <v>15</v>
      </c>
      <c r="K57" s="5">
        <v>15</v>
      </c>
      <c r="L57" s="5"/>
      <c r="M57" s="5">
        <v>20</v>
      </c>
      <c r="N57" s="5">
        <v>20</v>
      </c>
      <c r="O57" s="5"/>
      <c r="S57">
        <v>5</v>
      </c>
    </row>
    <row r="58" spans="1:19" x14ac:dyDescent="0.15">
      <c r="A58" s="12">
        <f>表紙!AP111</f>
        <v>22201</v>
      </c>
      <c r="B58" t="s">
        <v>165</v>
      </c>
      <c r="C58" t="s">
        <v>445</v>
      </c>
      <c r="D58" t="s">
        <v>120</v>
      </c>
      <c r="E58">
        <v>9</v>
      </c>
      <c r="G58">
        <v>9</v>
      </c>
      <c r="H58">
        <v>13</v>
      </c>
      <c r="I58">
        <v>9</v>
      </c>
      <c r="J58" s="5">
        <v>13</v>
      </c>
      <c r="K58" s="5">
        <v>13</v>
      </c>
      <c r="L58" s="5"/>
      <c r="M58" s="5">
        <v>9</v>
      </c>
      <c r="N58" s="5">
        <v>9</v>
      </c>
      <c r="O58" s="5"/>
      <c r="S58">
        <v>4</v>
      </c>
    </row>
    <row r="59" spans="1:19" x14ac:dyDescent="0.15">
      <c r="A59" s="12">
        <f>表紙!AP112</f>
        <v>22202</v>
      </c>
      <c r="B59" t="s">
        <v>165</v>
      </c>
      <c r="C59" t="s">
        <v>446</v>
      </c>
      <c r="D59" t="s">
        <v>120</v>
      </c>
      <c r="E59">
        <v>7</v>
      </c>
      <c r="G59">
        <v>7</v>
      </c>
      <c r="H59">
        <v>7</v>
      </c>
      <c r="I59">
        <v>7</v>
      </c>
      <c r="J59" s="5">
        <v>7</v>
      </c>
      <c r="K59" s="5">
        <v>7</v>
      </c>
      <c r="L59" s="5"/>
      <c r="M59" s="5">
        <v>7</v>
      </c>
      <c r="N59" s="5">
        <v>7</v>
      </c>
      <c r="O59" s="5"/>
      <c r="S59">
        <v>0</v>
      </c>
    </row>
    <row r="60" spans="1:19" x14ac:dyDescent="0.15">
      <c r="A60" s="12">
        <f>表紙!AP113</f>
        <v>22203</v>
      </c>
      <c r="B60" t="s">
        <v>165</v>
      </c>
      <c r="C60" t="s">
        <v>447</v>
      </c>
      <c r="D60" t="s">
        <v>120</v>
      </c>
      <c r="E60">
        <v>4</v>
      </c>
      <c r="G60">
        <v>4</v>
      </c>
      <c r="H60">
        <v>4</v>
      </c>
      <c r="I60">
        <v>4</v>
      </c>
      <c r="J60" s="5">
        <v>4</v>
      </c>
      <c r="K60" s="5">
        <v>4</v>
      </c>
      <c r="L60" s="5"/>
      <c r="M60" s="5">
        <v>4</v>
      </c>
      <c r="N60" s="5">
        <v>4</v>
      </c>
      <c r="O60" s="5"/>
      <c r="S60">
        <v>0</v>
      </c>
    </row>
    <row r="61" spans="1:19" x14ac:dyDescent="0.15">
      <c r="A61" s="12">
        <f>表紙!AP114</f>
        <v>22204</v>
      </c>
      <c r="B61" t="s">
        <v>165</v>
      </c>
      <c r="C61" t="s">
        <v>448</v>
      </c>
      <c r="D61" t="s">
        <v>120</v>
      </c>
      <c r="E61">
        <v>0</v>
      </c>
      <c r="G61">
        <v>0</v>
      </c>
      <c r="H61">
        <v>0</v>
      </c>
      <c r="I61">
        <v>0</v>
      </c>
      <c r="J61" s="5">
        <v>0</v>
      </c>
      <c r="K61" s="5">
        <v>0</v>
      </c>
      <c r="L61" s="5"/>
      <c r="M61" s="5">
        <v>0</v>
      </c>
      <c r="N61" s="5">
        <v>0</v>
      </c>
      <c r="O61" s="5"/>
      <c r="S61">
        <v>0</v>
      </c>
    </row>
    <row r="62" spans="1:19" x14ac:dyDescent="0.15">
      <c r="A62" s="12">
        <f>表紙!AP115</f>
        <v>22301</v>
      </c>
      <c r="B62" t="s">
        <v>166</v>
      </c>
      <c r="C62" t="s">
        <v>530</v>
      </c>
      <c r="D62" t="s">
        <v>159</v>
      </c>
      <c r="E62">
        <v>15</v>
      </c>
      <c r="F62">
        <v>8</v>
      </c>
      <c r="G62">
        <v>23</v>
      </c>
      <c r="H62">
        <v>20</v>
      </c>
      <c r="I62" t="s">
        <v>249</v>
      </c>
      <c r="J62" s="5">
        <v>20</v>
      </c>
      <c r="K62" s="5">
        <v>20</v>
      </c>
      <c r="L62" s="5"/>
      <c r="M62" s="5">
        <v>23</v>
      </c>
      <c r="N62" s="5">
        <v>15</v>
      </c>
      <c r="O62" s="5">
        <v>8</v>
      </c>
      <c r="S62">
        <v>2</v>
      </c>
    </row>
    <row r="63" spans="1:19" x14ac:dyDescent="0.15">
      <c r="A63" s="12">
        <f>表紙!AP116</f>
        <v>22401</v>
      </c>
      <c r="B63" t="s">
        <v>167</v>
      </c>
      <c r="C63" t="s">
        <v>531</v>
      </c>
      <c r="D63" t="s">
        <v>159</v>
      </c>
      <c r="E63">
        <v>15</v>
      </c>
      <c r="F63">
        <v>8</v>
      </c>
      <c r="G63">
        <v>23</v>
      </c>
      <c r="H63">
        <v>20</v>
      </c>
      <c r="I63" t="s">
        <v>249</v>
      </c>
      <c r="J63" s="5">
        <v>20</v>
      </c>
      <c r="K63" s="5">
        <v>20</v>
      </c>
      <c r="L63" s="5"/>
      <c r="M63" s="5">
        <v>23</v>
      </c>
      <c r="N63" s="5">
        <v>15</v>
      </c>
      <c r="O63" s="5">
        <v>8</v>
      </c>
      <c r="S63">
        <v>2</v>
      </c>
    </row>
    <row r="64" spans="1:19" x14ac:dyDescent="0.15">
      <c r="A64" s="12">
        <f>表紙!AP117</f>
        <v>22501</v>
      </c>
      <c r="B64" t="s">
        <v>168</v>
      </c>
      <c r="C64" t="s">
        <v>449</v>
      </c>
      <c r="D64" t="s">
        <v>123</v>
      </c>
      <c r="E64">
        <v>10</v>
      </c>
      <c r="F64">
        <v>5</v>
      </c>
      <c r="G64">
        <v>15</v>
      </c>
      <c r="H64">
        <v>15</v>
      </c>
      <c r="I64" t="s">
        <v>248</v>
      </c>
      <c r="J64" s="5">
        <v>15</v>
      </c>
      <c r="K64" s="5">
        <v>15</v>
      </c>
      <c r="L64" s="5"/>
      <c r="M64" s="5">
        <v>15</v>
      </c>
      <c r="N64" s="5">
        <v>10</v>
      </c>
      <c r="O64" s="5">
        <v>5</v>
      </c>
      <c r="S64">
        <v>3</v>
      </c>
    </row>
    <row r="65" spans="1:19" x14ac:dyDescent="0.15">
      <c r="A65" s="12">
        <f>表紙!AP118</f>
        <v>22502</v>
      </c>
      <c r="B65" t="s">
        <v>68</v>
      </c>
      <c r="C65" t="s">
        <v>450</v>
      </c>
      <c r="D65" t="s">
        <v>169</v>
      </c>
      <c r="E65">
        <v>10</v>
      </c>
      <c r="F65">
        <v>5</v>
      </c>
      <c r="G65">
        <v>15</v>
      </c>
      <c r="H65">
        <v>15</v>
      </c>
      <c r="I65" t="s">
        <v>248</v>
      </c>
      <c r="J65" s="5">
        <v>15</v>
      </c>
      <c r="K65" s="5">
        <v>15</v>
      </c>
      <c r="L65" s="5"/>
      <c r="M65" s="5">
        <v>15</v>
      </c>
      <c r="N65" s="5">
        <v>10</v>
      </c>
      <c r="O65" s="5">
        <v>5</v>
      </c>
      <c r="S65">
        <v>3</v>
      </c>
    </row>
    <row r="66" spans="1:19" x14ac:dyDescent="0.15">
      <c r="A66" s="12">
        <f>表紙!AP119</f>
        <v>22601</v>
      </c>
      <c r="B66" t="s">
        <v>54</v>
      </c>
      <c r="C66" t="s">
        <v>532</v>
      </c>
      <c r="D66" t="s">
        <v>170</v>
      </c>
      <c r="E66">
        <v>15</v>
      </c>
      <c r="F66">
        <v>0</v>
      </c>
      <c r="G66">
        <v>15</v>
      </c>
      <c r="H66">
        <v>15</v>
      </c>
      <c r="I66">
        <v>15</v>
      </c>
      <c r="J66" s="5">
        <v>15</v>
      </c>
      <c r="K66" s="5">
        <v>15</v>
      </c>
      <c r="L66" s="5"/>
      <c r="M66" s="5">
        <v>15</v>
      </c>
      <c r="N66" s="5">
        <v>15</v>
      </c>
      <c r="O66" s="5"/>
      <c r="S66">
        <v>2</v>
      </c>
    </row>
    <row r="67" spans="1:19" x14ac:dyDescent="0.15">
      <c r="A67" s="12">
        <f>表紙!AP120</f>
        <v>22701</v>
      </c>
      <c r="B67" t="s">
        <v>171</v>
      </c>
      <c r="C67" t="s">
        <v>533</v>
      </c>
      <c r="D67" t="s">
        <v>172</v>
      </c>
      <c r="E67">
        <v>15</v>
      </c>
      <c r="F67">
        <v>15</v>
      </c>
      <c r="G67">
        <v>30</v>
      </c>
      <c r="H67">
        <v>30</v>
      </c>
      <c r="I67" t="s">
        <v>242</v>
      </c>
      <c r="J67" s="5">
        <v>30</v>
      </c>
      <c r="K67" s="5">
        <v>30</v>
      </c>
      <c r="L67" s="5"/>
      <c r="M67" s="5">
        <v>30</v>
      </c>
      <c r="N67" s="5">
        <v>15</v>
      </c>
      <c r="O67" s="5">
        <v>15</v>
      </c>
      <c r="S67">
        <v>3</v>
      </c>
    </row>
    <row r="68" spans="1:19" x14ac:dyDescent="0.15">
      <c r="A68" s="12">
        <f>表紙!AP121</f>
        <v>22702</v>
      </c>
      <c r="B68" t="s">
        <v>173</v>
      </c>
      <c r="C68" t="s">
        <v>534</v>
      </c>
      <c r="D68" t="s">
        <v>174</v>
      </c>
      <c r="E68">
        <v>10</v>
      </c>
      <c r="F68">
        <v>17</v>
      </c>
      <c r="G68">
        <v>27</v>
      </c>
      <c r="H68">
        <v>10</v>
      </c>
      <c r="I68" t="s">
        <v>259</v>
      </c>
      <c r="J68" s="5">
        <v>10</v>
      </c>
      <c r="K68" s="5">
        <v>10</v>
      </c>
      <c r="L68" s="5"/>
      <c r="M68" s="5">
        <v>27</v>
      </c>
      <c r="N68" s="5">
        <v>10</v>
      </c>
      <c r="O68" s="5">
        <v>17</v>
      </c>
      <c r="S68">
        <v>2</v>
      </c>
    </row>
    <row r="69" spans="1:19" x14ac:dyDescent="0.15">
      <c r="A69" s="12">
        <f>表紙!AP122</f>
        <v>22801</v>
      </c>
      <c r="B69" t="s">
        <v>175</v>
      </c>
      <c r="C69" t="s">
        <v>451</v>
      </c>
      <c r="D69" t="s">
        <v>121</v>
      </c>
      <c r="E69">
        <v>8</v>
      </c>
      <c r="F69">
        <v>15</v>
      </c>
      <c r="G69">
        <v>23</v>
      </c>
      <c r="H69">
        <v>20</v>
      </c>
      <c r="I69" t="s">
        <v>260</v>
      </c>
      <c r="J69" s="5">
        <v>20</v>
      </c>
      <c r="K69" s="5">
        <v>20</v>
      </c>
      <c r="L69" s="5"/>
      <c r="M69" s="5">
        <v>23</v>
      </c>
      <c r="N69" s="5">
        <v>8</v>
      </c>
      <c r="O69" s="5">
        <v>15</v>
      </c>
      <c r="S69">
        <v>2</v>
      </c>
    </row>
    <row r="70" spans="1:19" x14ac:dyDescent="0.15">
      <c r="A70" s="12">
        <f>表紙!AP123</f>
        <v>22901</v>
      </c>
      <c r="B70" t="s">
        <v>176</v>
      </c>
      <c r="C70" t="s">
        <v>535</v>
      </c>
      <c r="D70" t="s">
        <v>177</v>
      </c>
      <c r="E70">
        <v>10</v>
      </c>
      <c r="F70">
        <v>10</v>
      </c>
      <c r="G70">
        <v>20</v>
      </c>
      <c r="H70">
        <v>20</v>
      </c>
      <c r="I70" t="s">
        <v>261</v>
      </c>
      <c r="J70" s="5">
        <v>20</v>
      </c>
      <c r="K70" s="5">
        <v>20</v>
      </c>
      <c r="L70" s="5"/>
      <c r="M70" s="5">
        <v>20</v>
      </c>
      <c r="N70" s="5">
        <v>10</v>
      </c>
      <c r="O70" s="5">
        <v>10</v>
      </c>
      <c r="S70">
        <v>2</v>
      </c>
    </row>
    <row r="71" spans="1:19" x14ac:dyDescent="0.15">
      <c r="A71" s="12">
        <f>表紙!AP124</f>
        <v>22902</v>
      </c>
      <c r="B71" t="s">
        <v>178</v>
      </c>
      <c r="C71" t="s">
        <v>536</v>
      </c>
      <c r="D71" t="s">
        <v>181</v>
      </c>
      <c r="E71">
        <v>10</v>
      </c>
      <c r="F71">
        <v>3</v>
      </c>
      <c r="G71">
        <v>13</v>
      </c>
      <c r="H71">
        <v>15</v>
      </c>
      <c r="I71" t="s">
        <v>262</v>
      </c>
      <c r="J71" s="5">
        <v>15</v>
      </c>
      <c r="K71" s="5">
        <v>15</v>
      </c>
      <c r="L71" s="5"/>
      <c r="M71" s="5">
        <v>15</v>
      </c>
      <c r="N71" s="5">
        <v>12</v>
      </c>
      <c r="O71" s="5">
        <v>3</v>
      </c>
      <c r="S71">
        <v>0</v>
      </c>
    </row>
    <row r="72" spans="1:19" x14ac:dyDescent="0.15">
      <c r="A72" s="12">
        <f>表紙!AP125</f>
        <v>23001</v>
      </c>
      <c r="B72" t="s">
        <v>179</v>
      </c>
      <c r="C72" t="s">
        <v>452</v>
      </c>
      <c r="D72" t="s">
        <v>120</v>
      </c>
      <c r="E72">
        <v>12</v>
      </c>
      <c r="F72">
        <v>10</v>
      </c>
      <c r="G72">
        <v>22</v>
      </c>
      <c r="H72">
        <v>20</v>
      </c>
      <c r="I72" t="s">
        <v>263</v>
      </c>
      <c r="J72" s="5">
        <v>20</v>
      </c>
      <c r="K72" s="5">
        <v>20</v>
      </c>
      <c r="L72" s="5"/>
      <c r="M72" s="5">
        <v>22</v>
      </c>
      <c r="N72" s="5">
        <v>12</v>
      </c>
      <c r="O72" s="5">
        <v>10</v>
      </c>
      <c r="S72">
        <v>2</v>
      </c>
    </row>
    <row r="73" spans="1:19" x14ac:dyDescent="0.15">
      <c r="A73" s="12">
        <f>表紙!AP126</f>
        <v>23002</v>
      </c>
      <c r="B73" t="s">
        <v>180</v>
      </c>
      <c r="C73" t="s">
        <v>453</v>
      </c>
      <c r="D73" t="s">
        <v>120</v>
      </c>
      <c r="E73">
        <v>12</v>
      </c>
      <c r="F73">
        <v>10</v>
      </c>
      <c r="G73">
        <v>22</v>
      </c>
      <c r="H73">
        <v>20</v>
      </c>
      <c r="I73" t="s">
        <v>263</v>
      </c>
      <c r="J73" s="5">
        <v>20</v>
      </c>
      <c r="K73" s="5">
        <v>20</v>
      </c>
      <c r="L73" s="5"/>
      <c r="M73" s="5">
        <v>22</v>
      </c>
      <c r="N73" s="5">
        <v>12</v>
      </c>
      <c r="O73" s="5">
        <v>10</v>
      </c>
      <c r="S73">
        <v>2</v>
      </c>
    </row>
    <row r="74" spans="1:19" x14ac:dyDescent="0.15">
      <c r="A74" s="12">
        <f>表紙!AP127</f>
        <v>23101</v>
      </c>
      <c r="B74" t="s">
        <v>182</v>
      </c>
      <c r="C74" t="s">
        <v>537</v>
      </c>
      <c r="D74" t="s">
        <v>120</v>
      </c>
      <c r="E74">
        <v>12</v>
      </c>
      <c r="F74">
        <v>10</v>
      </c>
      <c r="G74">
        <v>22</v>
      </c>
      <c r="H74">
        <v>20</v>
      </c>
      <c r="I74" t="s">
        <v>263</v>
      </c>
      <c r="J74" s="5">
        <v>20</v>
      </c>
      <c r="K74" s="5">
        <v>20</v>
      </c>
      <c r="L74" s="5"/>
      <c r="M74" s="5">
        <v>22</v>
      </c>
      <c r="N74" s="5">
        <v>12</v>
      </c>
      <c r="O74" s="5">
        <v>10</v>
      </c>
      <c r="S74">
        <v>2</v>
      </c>
    </row>
    <row r="75" spans="1:19" x14ac:dyDescent="0.15">
      <c r="A75" s="12">
        <f>表紙!AP128</f>
        <v>23102</v>
      </c>
      <c r="B75" t="s">
        <v>182</v>
      </c>
      <c r="C75" t="s">
        <v>454</v>
      </c>
      <c r="D75" t="s">
        <v>120</v>
      </c>
      <c r="E75">
        <v>6</v>
      </c>
      <c r="F75">
        <v>10</v>
      </c>
      <c r="G75">
        <v>16</v>
      </c>
      <c r="H75">
        <v>20</v>
      </c>
      <c r="I75" t="s">
        <v>264</v>
      </c>
      <c r="J75" s="5">
        <v>20</v>
      </c>
      <c r="K75" s="5">
        <v>20</v>
      </c>
      <c r="L75" s="5"/>
      <c r="M75" s="5">
        <v>16</v>
      </c>
      <c r="N75" s="5">
        <v>6</v>
      </c>
      <c r="O75" s="5">
        <v>10</v>
      </c>
      <c r="S75">
        <v>2</v>
      </c>
    </row>
    <row r="76" spans="1:19" x14ac:dyDescent="0.15">
      <c r="A76" s="12">
        <f>表紙!AP129</f>
        <v>23201</v>
      </c>
      <c r="B76" t="s">
        <v>62</v>
      </c>
      <c r="C76" t="s">
        <v>455</v>
      </c>
      <c r="D76" t="s">
        <v>120</v>
      </c>
      <c r="E76">
        <v>6</v>
      </c>
      <c r="F76">
        <v>0</v>
      </c>
      <c r="G76">
        <v>6</v>
      </c>
      <c r="H76">
        <v>20</v>
      </c>
      <c r="I76">
        <v>10</v>
      </c>
      <c r="J76" s="5">
        <v>20</v>
      </c>
      <c r="K76" s="5">
        <v>20</v>
      </c>
      <c r="L76" s="5"/>
      <c r="M76" s="5">
        <v>10</v>
      </c>
      <c r="N76" s="5">
        <v>10</v>
      </c>
      <c r="O76" s="5"/>
      <c r="S76">
        <v>2</v>
      </c>
    </row>
    <row r="77" spans="1:19" x14ac:dyDescent="0.15">
      <c r="A77" s="12">
        <f>表紙!AP130</f>
        <v>23202</v>
      </c>
      <c r="B77" t="s">
        <v>62</v>
      </c>
      <c r="C77" t="s">
        <v>456</v>
      </c>
      <c r="D77" t="s">
        <v>126</v>
      </c>
      <c r="E77">
        <v>3</v>
      </c>
      <c r="F77">
        <v>3</v>
      </c>
      <c r="G77">
        <v>6</v>
      </c>
      <c r="H77">
        <v>20</v>
      </c>
      <c r="I77">
        <v>10</v>
      </c>
      <c r="J77" s="5">
        <v>20</v>
      </c>
      <c r="K77" s="5">
        <v>20</v>
      </c>
      <c r="L77" s="5"/>
      <c r="M77" s="5">
        <v>10</v>
      </c>
      <c r="N77" s="5">
        <v>10</v>
      </c>
      <c r="O77" s="5"/>
      <c r="S77">
        <v>2</v>
      </c>
    </row>
    <row r="78" spans="1:19" x14ac:dyDescent="0.15">
      <c r="A78" s="12">
        <f>表紙!AP131</f>
        <v>23301</v>
      </c>
      <c r="B78" t="s">
        <v>63</v>
      </c>
      <c r="C78" t="s">
        <v>457</v>
      </c>
      <c r="D78" t="s">
        <v>126</v>
      </c>
      <c r="E78">
        <v>15</v>
      </c>
      <c r="F78">
        <v>5</v>
      </c>
      <c r="G78">
        <v>20</v>
      </c>
      <c r="H78">
        <v>20</v>
      </c>
      <c r="I78" t="s">
        <v>265</v>
      </c>
      <c r="J78" s="5">
        <v>20</v>
      </c>
      <c r="K78" s="5">
        <v>20</v>
      </c>
      <c r="L78" s="5"/>
      <c r="M78" s="5">
        <v>20</v>
      </c>
      <c r="N78" s="5">
        <v>15</v>
      </c>
      <c r="O78" s="5">
        <v>5</v>
      </c>
      <c r="S78">
        <v>2</v>
      </c>
    </row>
    <row r="79" spans="1:19" x14ac:dyDescent="0.15">
      <c r="A79" s="12">
        <f>表紙!AP132</f>
        <v>23401</v>
      </c>
      <c r="B79" t="s">
        <v>72</v>
      </c>
      <c r="C79" t="s">
        <v>458</v>
      </c>
      <c r="D79" t="s">
        <v>120</v>
      </c>
      <c r="E79">
        <v>12</v>
      </c>
      <c r="F79">
        <v>6</v>
      </c>
      <c r="G79">
        <v>18</v>
      </c>
      <c r="H79">
        <v>20</v>
      </c>
      <c r="I79" t="s">
        <v>256</v>
      </c>
      <c r="J79" s="5">
        <v>20</v>
      </c>
      <c r="K79" s="5">
        <v>20</v>
      </c>
      <c r="L79" s="5"/>
      <c r="M79" s="5">
        <v>18</v>
      </c>
      <c r="N79" s="5">
        <v>12</v>
      </c>
      <c r="O79" s="5">
        <v>6</v>
      </c>
      <c r="S79">
        <v>2</v>
      </c>
    </row>
    <row r="80" spans="1:19" x14ac:dyDescent="0.15">
      <c r="A80" s="12">
        <f>表紙!AP133</f>
        <v>23501</v>
      </c>
      <c r="B80" t="s">
        <v>183</v>
      </c>
      <c r="C80" t="s">
        <v>459</v>
      </c>
      <c r="D80" t="s">
        <v>184</v>
      </c>
      <c r="E80">
        <v>7</v>
      </c>
      <c r="F80">
        <v>8</v>
      </c>
      <c r="G80">
        <v>15</v>
      </c>
      <c r="H80">
        <v>15</v>
      </c>
      <c r="I80" t="s">
        <v>266</v>
      </c>
      <c r="J80" s="5">
        <v>15</v>
      </c>
      <c r="K80" s="5">
        <v>15</v>
      </c>
      <c r="L80" s="5"/>
      <c r="M80" s="5">
        <v>15</v>
      </c>
      <c r="N80" s="5">
        <v>7</v>
      </c>
      <c r="O80" s="5">
        <v>8</v>
      </c>
      <c r="S80">
        <v>2</v>
      </c>
    </row>
    <row r="81" spans="1:19" x14ac:dyDescent="0.15">
      <c r="A81" s="12">
        <f>表紙!AP134</f>
        <v>23601</v>
      </c>
      <c r="B81" t="s">
        <v>186</v>
      </c>
      <c r="C81" t="s">
        <v>538</v>
      </c>
      <c r="D81" t="s">
        <v>126</v>
      </c>
      <c r="E81">
        <v>10</v>
      </c>
      <c r="F81">
        <v>4</v>
      </c>
      <c r="G81">
        <v>14</v>
      </c>
      <c r="H81">
        <v>19</v>
      </c>
      <c r="I81" t="s">
        <v>268</v>
      </c>
      <c r="J81" s="5">
        <v>19</v>
      </c>
      <c r="K81" s="5">
        <v>19</v>
      </c>
      <c r="L81" s="5"/>
      <c r="M81" s="5">
        <v>14</v>
      </c>
      <c r="N81" s="5">
        <v>10</v>
      </c>
      <c r="O81" s="5">
        <v>4</v>
      </c>
      <c r="S81">
        <v>1.5</v>
      </c>
    </row>
    <row r="82" spans="1:19" x14ac:dyDescent="0.15">
      <c r="A82" s="12">
        <f>表紙!AP135</f>
        <v>23701</v>
      </c>
      <c r="B82" t="s">
        <v>187</v>
      </c>
      <c r="C82" t="s">
        <v>539</v>
      </c>
      <c r="D82" t="s">
        <v>188</v>
      </c>
      <c r="E82">
        <v>12</v>
      </c>
      <c r="F82">
        <v>3</v>
      </c>
      <c r="G82">
        <v>15</v>
      </c>
      <c r="H82">
        <v>19</v>
      </c>
      <c r="I82" t="s">
        <v>262</v>
      </c>
      <c r="J82" s="5">
        <v>19</v>
      </c>
      <c r="K82" s="5">
        <v>19</v>
      </c>
      <c r="L82" s="5"/>
      <c r="M82" s="5">
        <v>15</v>
      </c>
      <c r="N82" s="5">
        <v>12</v>
      </c>
      <c r="O82" s="5">
        <v>3</v>
      </c>
      <c r="S82">
        <v>2</v>
      </c>
    </row>
    <row r="83" spans="1:19" x14ac:dyDescent="0.15">
      <c r="A83" s="12">
        <f>表紙!AP136</f>
        <v>23801</v>
      </c>
      <c r="B83" t="s">
        <v>197</v>
      </c>
      <c r="C83" t="s">
        <v>596</v>
      </c>
      <c r="D83" t="s">
        <v>177</v>
      </c>
      <c r="E83">
        <v>10</v>
      </c>
      <c r="G83">
        <v>10</v>
      </c>
      <c r="H83">
        <v>10</v>
      </c>
      <c r="I83">
        <v>10</v>
      </c>
      <c r="J83" s="5">
        <v>10</v>
      </c>
      <c r="K83" s="5">
        <v>10</v>
      </c>
      <c r="L83" s="5"/>
      <c r="M83" s="5">
        <v>10</v>
      </c>
      <c r="N83" s="5">
        <v>10</v>
      </c>
      <c r="O83" s="5"/>
      <c r="S83">
        <v>3</v>
      </c>
    </row>
    <row r="84" spans="1:19" x14ac:dyDescent="0.15">
      <c r="A84" s="12">
        <f>表紙!AP137</f>
        <v>23802</v>
      </c>
      <c r="B84" t="s">
        <v>198</v>
      </c>
      <c r="C84" t="s">
        <v>598</v>
      </c>
      <c r="D84" t="s">
        <v>177</v>
      </c>
      <c r="E84">
        <v>10</v>
      </c>
      <c r="G84">
        <v>10</v>
      </c>
      <c r="H84">
        <v>10</v>
      </c>
      <c r="I84">
        <v>10</v>
      </c>
      <c r="J84" s="5">
        <v>10</v>
      </c>
      <c r="K84" s="5">
        <v>10</v>
      </c>
      <c r="L84" s="5"/>
      <c r="M84" s="5">
        <v>10</v>
      </c>
      <c r="N84" s="5">
        <v>10</v>
      </c>
      <c r="O84" s="5"/>
      <c r="S84">
        <v>0</v>
      </c>
    </row>
    <row r="85" spans="1:19" x14ac:dyDescent="0.15">
      <c r="A85" s="12">
        <f>表紙!AP138</f>
        <v>23803</v>
      </c>
      <c r="B85" t="s">
        <v>185</v>
      </c>
      <c r="C85" t="s">
        <v>540</v>
      </c>
      <c r="D85" t="s">
        <v>184</v>
      </c>
      <c r="E85">
        <v>15</v>
      </c>
      <c r="F85">
        <v>0</v>
      </c>
      <c r="G85">
        <v>15</v>
      </c>
      <c r="H85">
        <v>15</v>
      </c>
      <c r="I85">
        <v>15</v>
      </c>
      <c r="J85" s="5">
        <v>15</v>
      </c>
      <c r="K85" s="5">
        <v>15</v>
      </c>
      <c r="L85" s="5"/>
      <c r="M85" s="5">
        <v>15</v>
      </c>
      <c r="N85" s="5">
        <v>15</v>
      </c>
      <c r="O85" s="5"/>
      <c r="S85">
        <v>6</v>
      </c>
    </row>
    <row r="86" spans="1:19" x14ac:dyDescent="0.15">
      <c r="A86" s="12">
        <f>表紙!AP139</f>
        <v>23804</v>
      </c>
      <c r="B86" t="s">
        <v>185</v>
      </c>
      <c r="C86" t="s">
        <v>541</v>
      </c>
      <c r="D86" t="s">
        <v>184</v>
      </c>
      <c r="E86">
        <v>5</v>
      </c>
      <c r="F86">
        <v>8</v>
      </c>
      <c r="G86">
        <v>13</v>
      </c>
      <c r="H86" t="s">
        <v>267</v>
      </c>
      <c r="I86" t="s">
        <v>267</v>
      </c>
      <c r="J86" s="5">
        <v>13</v>
      </c>
      <c r="K86" s="5">
        <v>5</v>
      </c>
      <c r="L86" s="5">
        <v>8</v>
      </c>
      <c r="M86" s="5">
        <v>13</v>
      </c>
      <c r="N86" s="5">
        <v>5</v>
      </c>
      <c r="O86" s="5">
        <v>8</v>
      </c>
      <c r="S86">
        <v>0</v>
      </c>
    </row>
    <row r="87" spans="1:19" x14ac:dyDescent="0.15">
      <c r="A87" s="12">
        <f>表紙!AP140</f>
        <v>23805</v>
      </c>
      <c r="B87" t="s">
        <v>189</v>
      </c>
      <c r="C87" t="s">
        <v>542</v>
      </c>
      <c r="D87" t="s">
        <v>120</v>
      </c>
      <c r="E87">
        <v>15</v>
      </c>
      <c r="G87">
        <v>15</v>
      </c>
      <c r="H87">
        <v>15</v>
      </c>
      <c r="I87">
        <v>12</v>
      </c>
      <c r="J87" s="5">
        <v>15</v>
      </c>
      <c r="K87" s="5">
        <v>15</v>
      </c>
      <c r="L87" s="5"/>
      <c r="M87" s="5">
        <v>12</v>
      </c>
      <c r="N87" s="5">
        <v>12</v>
      </c>
      <c r="O87" s="5"/>
      <c r="S87">
        <v>2</v>
      </c>
    </row>
    <row r="88" spans="1:19" x14ac:dyDescent="0.15">
      <c r="A88" s="12">
        <f>表紙!AP141</f>
        <v>23806</v>
      </c>
      <c r="B88" t="s">
        <v>190</v>
      </c>
      <c r="C88" t="s">
        <v>543</v>
      </c>
      <c r="D88" t="s">
        <v>120</v>
      </c>
      <c r="E88">
        <v>9</v>
      </c>
      <c r="G88">
        <v>9</v>
      </c>
      <c r="H88">
        <v>9</v>
      </c>
      <c r="I88">
        <v>9</v>
      </c>
      <c r="J88" s="5">
        <v>9</v>
      </c>
      <c r="K88" s="5">
        <v>9</v>
      </c>
      <c r="L88" s="5"/>
      <c r="M88" s="5">
        <v>9</v>
      </c>
      <c r="N88" s="5">
        <v>9</v>
      </c>
      <c r="O88" s="5"/>
      <c r="S88">
        <v>0</v>
      </c>
    </row>
    <row r="89" spans="1:19" x14ac:dyDescent="0.15">
      <c r="A89" s="12">
        <f>表紙!AP142</f>
        <v>23807</v>
      </c>
      <c r="B89" t="s">
        <v>191</v>
      </c>
      <c r="C89" t="s">
        <v>544</v>
      </c>
      <c r="D89" t="s">
        <v>120</v>
      </c>
      <c r="E89">
        <v>5</v>
      </c>
      <c r="G89">
        <v>5</v>
      </c>
      <c r="H89">
        <v>5</v>
      </c>
      <c r="I89">
        <v>5</v>
      </c>
      <c r="J89" s="5">
        <v>5</v>
      </c>
      <c r="K89" s="5">
        <v>5</v>
      </c>
      <c r="L89" s="5"/>
      <c r="M89" s="5">
        <v>5</v>
      </c>
      <c r="N89" s="5">
        <v>5</v>
      </c>
      <c r="O89" s="5"/>
      <c r="S89">
        <v>0</v>
      </c>
    </row>
    <row r="90" spans="1:19" x14ac:dyDescent="0.15">
      <c r="A90" s="12">
        <f>表紙!AP143</f>
        <v>23808</v>
      </c>
      <c r="B90" t="s">
        <v>192</v>
      </c>
      <c r="C90" t="s">
        <v>545</v>
      </c>
      <c r="D90" t="s">
        <v>120</v>
      </c>
      <c r="E90">
        <v>3</v>
      </c>
      <c r="G90">
        <v>3</v>
      </c>
      <c r="H90">
        <v>3</v>
      </c>
      <c r="I90">
        <v>3</v>
      </c>
      <c r="J90" s="5">
        <v>3</v>
      </c>
      <c r="K90" s="5">
        <v>3</v>
      </c>
      <c r="L90" s="5"/>
      <c r="M90" s="5">
        <v>3</v>
      </c>
      <c r="N90" s="5">
        <v>3</v>
      </c>
      <c r="O90" s="5"/>
      <c r="S90">
        <v>0</v>
      </c>
    </row>
    <row r="91" spans="1:19" x14ac:dyDescent="0.15">
      <c r="A91" s="12">
        <f>表紙!AP144</f>
        <v>23809</v>
      </c>
      <c r="B91" t="s">
        <v>193</v>
      </c>
      <c r="C91" t="s">
        <v>600</v>
      </c>
      <c r="D91" t="s">
        <v>194</v>
      </c>
      <c r="E91">
        <v>0</v>
      </c>
      <c r="G91">
        <v>0</v>
      </c>
      <c r="H91">
        <v>0</v>
      </c>
      <c r="I91">
        <v>0</v>
      </c>
      <c r="J91" s="5">
        <v>0</v>
      </c>
      <c r="K91" s="5">
        <v>0</v>
      </c>
      <c r="L91" s="5"/>
      <c r="M91" s="5">
        <v>0</v>
      </c>
      <c r="N91" s="5">
        <v>0</v>
      </c>
      <c r="S91">
        <v>0</v>
      </c>
    </row>
    <row r="92" spans="1:19" x14ac:dyDescent="0.15">
      <c r="A92" s="12">
        <f>表紙!AP145</f>
        <v>23810</v>
      </c>
      <c r="B92" t="s">
        <v>195</v>
      </c>
      <c r="C92" t="s">
        <v>602</v>
      </c>
      <c r="D92" t="s">
        <v>177</v>
      </c>
      <c r="E92">
        <v>12</v>
      </c>
      <c r="G92">
        <v>12</v>
      </c>
      <c r="H92">
        <v>12</v>
      </c>
      <c r="I92">
        <v>12</v>
      </c>
      <c r="J92" s="5">
        <v>12</v>
      </c>
      <c r="K92" s="5">
        <v>12</v>
      </c>
      <c r="L92" s="5"/>
      <c r="M92" s="5">
        <v>12</v>
      </c>
      <c r="N92" s="5">
        <v>12</v>
      </c>
      <c r="O92" s="5"/>
      <c r="S92">
        <v>3</v>
      </c>
    </row>
    <row r="93" spans="1:19" x14ac:dyDescent="0.15">
      <c r="A93" s="12">
        <f>表紙!AP146</f>
        <v>23811</v>
      </c>
      <c r="B93" t="s">
        <v>195</v>
      </c>
      <c r="C93" t="s">
        <v>604</v>
      </c>
      <c r="D93" t="s">
        <v>172</v>
      </c>
      <c r="E93">
        <v>12</v>
      </c>
      <c r="G93">
        <v>12</v>
      </c>
      <c r="H93">
        <v>8</v>
      </c>
      <c r="I93">
        <v>14</v>
      </c>
      <c r="J93" s="5">
        <v>8</v>
      </c>
      <c r="K93" s="5">
        <v>8</v>
      </c>
      <c r="L93" s="5"/>
      <c r="M93" s="5">
        <v>14</v>
      </c>
      <c r="N93" s="5">
        <v>14</v>
      </c>
      <c r="O93" s="5"/>
      <c r="S93">
        <v>0</v>
      </c>
    </row>
    <row r="94" spans="1:19" x14ac:dyDescent="0.15">
      <c r="A94" s="12">
        <f>表紙!AP147</f>
        <v>23812</v>
      </c>
      <c r="B94" t="s">
        <v>195</v>
      </c>
      <c r="C94" t="s">
        <v>606</v>
      </c>
      <c r="D94" t="s">
        <v>196</v>
      </c>
      <c r="E94">
        <v>7</v>
      </c>
      <c r="G94">
        <v>7</v>
      </c>
      <c r="H94">
        <v>4</v>
      </c>
      <c r="I94">
        <v>8</v>
      </c>
      <c r="J94" s="5">
        <v>4</v>
      </c>
      <c r="K94" s="5">
        <v>4</v>
      </c>
      <c r="L94" s="5"/>
      <c r="M94" s="5">
        <v>8</v>
      </c>
      <c r="N94" s="5">
        <v>8</v>
      </c>
      <c r="O94" s="5"/>
      <c r="S94">
        <v>0</v>
      </c>
    </row>
    <row r="95" spans="1:19" x14ac:dyDescent="0.15">
      <c r="A95" s="12">
        <f>表紙!AP148</f>
        <v>30101</v>
      </c>
      <c r="B95" t="s">
        <v>200</v>
      </c>
      <c r="C95" t="s">
        <v>460</v>
      </c>
      <c r="D95" t="s">
        <v>177</v>
      </c>
      <c r="E95">
        <v>10</v>
      </c>
      <c r="G95">
        <v>10</v>
      </c>
      <c r="H95">
        <v>20</v>
      </c>
      <c r="I95">
        <v>8</v>
      </c>
      <c r="J95" s="5">
        <v>20</v>
      </c>
      <c r="K95" s="5">
        <v>20</v>
      </c>
      <c r="L95" s="5"/>
      <c r="M95" s="5">
        <v>8</v>
      </c>
      <c r="N95" s="5">
        <v>8</v>
      </c>
      <c r="O95" s="5"/>
      <c r="S95">
        <v>4</v>
      </c>
    </row>
    <row r="96" spans="1:19" x14ac:dyDescent="0.15">
      <c r="A96" s="12">
        <f>表紙!AP149</f>
        <v>30102</v>
      </c>
      <c r="B96" t="s">
        <v>200</v>
      </c>
      <c r="C96" t="s">
        <v>461</v>
      </c>
      <c r="D96" t="s">
        <v>207</v>
      </c>
      <c r="E96">
        <v>12</v>
      </c>
      <c r="F96">
        <v>8</v>
      </c>
      <c r="G96">
        <v>20</v>
      </c>
      <c r="H96">
        <v>12</v>
      </c>
      <c r="I96" t="s">
        <v>269</v>
      </c>
      <c r="J96" s="5">
        <v>12</v>
      </c>
      <c r="K96" s="5">
        <v>12</v>
      </c>
      <c r="L96" s="5"/>
      <c r="M96" s="5">
        <v>20</v>
      </c>
      <c r="N96" s="5">
        <v>12</v>
      </c>
      <c r="O96" s="5">
        <v>8</v>
      </c>
      <c r="S96">
        <v>1</v>
      </c>
    </row>
    <row r="97" spans="1:19" x14ac:dyDescent="0.15">
      <c r="A97" s="12">
        <f>表紙!AP150</f>
        <v>30103</v>
      </c>
      <c r="B97" t="s">
        <v>200</v>
      </c>
      <c r="C97" t="s">
        <v>406</v>
      </c>
      <c r="D97" t="s">
        <v>207</v>
      </c>
      <c r="E97">
        <v>12</v>
      </c>
      <c r="F97">
        <v>8</v>
      </c>
      <c r="G97">
        <v>20</v>
      </c>
      <c r="H97">
        <v>12</v>
      </c>
      <c r="I97" t="s">
        <v>269</v>
      </c>
      <c r="J97" s="5">
        <v>12</v>
      </c>
      <c r="K97" s="5">
        <v>12</v>
      </c>
      <c r="L97" s="5"/>
      <c r="M97" s="5">
        <v>20</v>
      </c>
      <c r="N97" s="5">
        <v>12</v>
      </c>
      <c r="O97" s="5">
        <v>8</v>
      </c>
      <c r="S97">
        <v>1</v>
      </c>
    </row>
    <row r="98" spans="1:19" x14ac:dyDescent="0.15">
      <c r="A98" s="12">
        <f>表紙!AP151</f>
        <v>30104</v>
      </c>
      <c r="B98" t="s">
        <v>200</v>
      </c>
      <c r="C98" t="s">
        <v>462</v>
      </c>
      <c r="D98" t="s">
        <v>207</v>
      </c>
      <c r="E98">
        <v>10</v>
      </c>
      <c r="F98">
        <v>5</v>
      </c>
      <c r="G98">
        <v>15</v>
      </c>
      <c r="H98">
        <v>10</v>
      </c>
      <c r="I98" t="s">
        <v>248</v>
      </c>
      <c r="J98" s="5">
        <v>10</v>
      </c>
      <c r="K98" s="5">
        <v>10</v>
      </c>
      <c r="L98" s="5"/>
      <c r="M98" s="5">
        <v>15</v>
      </c>
      <c r="N98" s="5">
        <v>10</v>
      </c>
      <c r="O98" s="5">
        <v>5</v>
      </c>
      <c r="S98">
        <v>1</v>
      </c>
    </row>
    <row r="99" spans="1:19" x14ac:dyDescent="0.15">
      <c r="A99" s="12">
        <f>表紙!AP152</f>
        <v>30105</v>
      </c>
      <c r="B99" t="s">
        <v>200</v>
      </c>
      <c r="C99" t="s">
        <v>463</v>
      </c>
      <c r="D99" t="s">
        <v>207</v>
      </c>
      <c r="E99">
        <v>10</v>
      </c>
      <c r="F99">
        <v>5</v>
      </c>
      <c r="G99">
        <v>15</v>
      </c>
      <c r="H99">
        <v>10</v>
      </c>
      <c r="I99" t="s">
        <v>248</v>
      </c>
      <c r="J99" s="5">
        <v>10</v>
      </c>
      <c r="K99" s="5">
        <v>10</v>
      </c>
      <c r="L99" s="5"/>
      <c r="M99" s="5">
        <v>15</v>
      </c>
      <c r="N99" s="5">
        <v>10</v>
      </c>
      <c r="O99" s="5">
        <v>5</v>
      </c>
      <c r="S99">
        <v>1</v>
      </c>
    </row>
    <row r="100" spans="1:19" x14ac:dyDescent="0.15">
      <c r="A100" s="12">
        <f>表紙!AP153</f>
        <v>30201</v>
      </c>
      <c r="B100" t="s">
        <v>201</v>
      </c>
      <c r="C100" t="s">
        <v>464</v>
      </c>
      <c r="D100" t="s">
        <v>207</v>
      </c>
      <c r="E100">
        <v>14</v>
      </c>
      <c r="F100">
        <v>6</v>
      </c>
      <c r="G100">
        <v>20</v>
      </c>
      <c r="H100">
        <v>15</v>
      </c>
      <c r="I100" t="s">
        <v>270</v>
      </c>
      <c r="J100" s="5">
        <v>15</v>
      </c>
      <c r="K100" s="5">
        <v>15</v>
      </c>
      <c r="L100" s="5"/>
      <c r="M100" s="5">
        <v>20</v>
      </c>
      <c r="N100" s="5">
        <v>14</v>
      </c>
      <c r="O100" s="5">
        <v>6</v>
      </c>
      <c r="S100">
        <v>3</v>
      </c>
    </row>
    <row r="101" spans="1:19" x14ac:dyDescent="0.15">
      <c r="A101" s="12">
        <f>表紙!AP154</f>
        <v>30202</v>
      </c>
      <c r="B101" t="s">
        <v>202</v>
      </c>
      <c r="C101" t="s">
        <v>465</v>
      </c>
      <c r="D101" t="s">
        <v>207</v>
      </c>
      <c r="E101">
        <v>12</v>
      </c>
      <c r="F101">
        <v>0</v>
      </c>
      <c r="G101">
        <v>12</v>
      </c>
      <c r="H101">
        <v>12</v>
      </c>
      <c r="I101">
        <v>12</v>
      </c>
      <c r="J101" s="5">
        <v>12</v>
      </c>
      <c r="K101" s="5">
        <v>12</v>
      </c>
      <c r="L101" s="5"/>
      <c r="M101" s="5">
        <v>12</v>
      </c>
      <c r="N101" s="5">
        <v>12</v>
      </c>
      <c r="O101" s="5"/>
      <c r="S101">
        <v>2</v>
      </c>
    </row>
    <row r="102" spans="1:19" x14ac:dyDescent="0.15">
      <c r="A102" s="12">
        <f>表紙!AP155</f>
        <v>30203</v>
      </c>
      <c r="B102" t="s">
        <v>202</v>
      </c>
      <c r="C102" t="s">
        <v>466</v>
      </c>
      <c r="D102" t="s">
        <v>207</v>
      </c>
      <c r="E102">
        <v>10</v>
      </c>
      <c r="F102">
        <v>2</v>
      </c>
      <c r="G102">
        <v>12</v>
      </c>
      <c r="H102">
        <v>10</v>
      </c>
      <c r="I102" t="s">
        <v>271</v>
      </c>
      <c r="J102" s="5">
        <v>10</v>
      </c>
      <c r="K102" s="5">
        <v>10</v>
      </c>
      <c r="L102" s="5"/>
      <c r="M102" s="5">
        <v>12</v>
      </c>
      <c r="N102" s="5">
        <v>10</v>
      </c>
      <c r="O102" s="5">
        <v>2</v>
      </c>
      <c r="S102">
        <v>3</v>
      </c>
    </row>
    <row r="103" spans="1:19" x14ac:dyDescent="0.15">
      <c r="A103" s="12">
        <f>表紙!AP156</f>
        <v>30301</v>
      </c>
      <c r="B103" t="s">
        <v>203</v>
      </c>
      <c r="C103" t="s">
        <v>467</v>
      </c>
      <c r="D103" t="s">
        <v>207</v>
      </c>
      <c r="E103">
        <v>20</v>
      </c>
      <c r="F103">
        <v>10</v>
      </c>
      <c r="G103">
        <v>30</v>
      </c>
      <c r="H103" t="s">
        <v>272</v>
      </c>
      <c r="I103" t="s">
        <v>272</v>
      </c>
      <c r="J103" s="5">
        <v>30</v>
      </c>
      <c r="K103" s="5">
        <v>20</v>
      </c>
      <c r="L103" s="5">
        <v>10</v>
      </c>
      <c r="M103" s="5">
        <v>30</v>
      </c>
      <c r="N103" s="5">
        <v>20</v>
      </c>
      <c r="O103" s="5">
        <v>10</v>
      </c>
      <c r="S103">
        <v>3</v>
      </c>
    </row>
    <row r="104" spans="1:19" x14ac:dyDescent="0.15">
      <c r="A104" s="12">
        <f>表紙!AP157</f>
        <v>30302</v>
      </c>
      <c r="B104" t="s">
        <v>204</v>
      </c>
      <c r="C104" t="s">
        <v>468</v>
      </c>
      <c r="D104" t="s">
        <v>207</v>
      </c>
      <c r="E104">
        <v>20</v>
      </c>
      <c r="F104">
        <v>10</v>
      </c>
      <c r="G104">
        <v>30</v>
      </c>
      <c r="H104" t="s">
        <v>272</v>
      </c>
      <c r="I104" t="s">
        <v>272</v>
      </c>
      <c r="J104" s="5">
        <v>30</v>
      </c>
      <c r="K104" s="5">
        <v>20</v>
      </c>
      <c r="L104" s="5">
        <v>10</v>
      </c>
      <c r="M104" s="5">
        <v>30</v>
      </c>
      <c r="N104" s="5">
        <v>20</v>
      </c>
      <c r="O104" s="5">
        <v>10</v>
      </c>
      <c r="S104">
        <v>3</v>
      </c>
    </row>
    <row r="105" spans="1:19" x14ac:dyDescent="0.15">
      <c r="A105" s="12">
        <f>表紙!AP158</f>
        <v>30401</v>
      </c>
      <c r="B105" t="s">
        <v>204</v>
      </c>
      <c r="C105" t="s">
        <v>469</v>
      </c>
      <c r="D105" t="s">
        <v>207</v>
      </c>
      <c r="E105">
        <v>15</v>
      </c>
      <c r="F105">
        <v>10</v>
      </c>
      <c r="G105">
        <v>25</v>
      </c>
      <c r="H105">
        <v>25</v>
      </c>
      <c r="I105" t="s">
        <v>253</v>
      </c>
      <c r="J105" s="5">
        <v>25</v>
      </c>
      <c r="K105" s="5">
        <v>25</v>
      </c>
      <c r="L105" s="5"/>
      <c r="M105" s="5">
        <v>25</v>
      </c>
      <c r="N105" s="5">
        <v>15</v>
      </c>
      <c r="O105" s="5">
        <v>10</v>
      </c>
      <c r="S105">
        <v>3</v>
      </c>
    </row>
    <row r="106" spans="1:19" x14ac:dyDescent="0.15">
      <c r="A106" s="12">
        <f>表紙!AP159</f>
        <v>30501</v>
      </c>
      <c r="B106" t="s">
        <v>86</v>
      </c>
      <c r="C106" t="s">
        <v>546</v>
      </c>
      <c r="D106" t="s">
        <v>207</v>
      </c>
      <c r="E106">
        <v>10</v>
      </c>
      <c r="G106">
        <v>10</v>
      </c>
      <c r="H106">
        <v>10</v>
      </c>
      <c r="I106">
        <v>10</v>
      </c>
      <c r="J106" s="5">
        <v>10</v>
      </c>
      <c r="K106" s="5">
        <v>10</v>
      </c>
      <c r="L106" s="5"/>
      <c r="M106" s="5">
        <v>10</v>
      </c>
      <c r="N106" s="5">
        <v>10</v>
      </c>
      <c r="O106" s="5">
        <v>0</v>
      </c>
      <c r="S106">
        <v>3</v>
      </c>
    </row>
    <row r="107" spans="1:19" x14ac:dyDescent="0.15">
      <c r="A107" s="12">
        <f>表紙!AP160</f>
        <v>30601</v>
      </c>
      <c r="B107" t="s">
        <v>87</v>
      </c>
      <c r="C107" t="s">
        <v>470</v>
      </c>
      <c r="D107" t="s">
        <v>207</v>
      </c>
      <c r="E107">
        <v>6</v>
      </c>
      <c r="F107">
        <v>2</v>
      </c>
      <c r="G107">
        <v>8</v>
      </c>
      <c r="H107">
        <v>9</v>
      </c>
      <c r="I107" t="s">
        <v>273</v>
      </c>
      <c r="J107" s="5">
        <v>9</v>
      </c>
      <c r="K107" s="5">
        <v>9</v>
      </c>
      <c r="L107" s="5"/>
      <c r="M107" s="5">
        <v>8</v>
      </c>
      <c r="N107" s="5">
        <v>6</v>
      </c>
      <c r="O107" s="5">
        <v>2</v>
      </c>
      <c r="S107">
        <v>3</v>
      </c>
    </row>
    <row r="108" spans="1:19" x14ac:dyDescent="0.15">
      <c r="A108" s="12">
        <f>表紙!AP161</f>
        <v>30602</v>
      </c>
      <c r="B108" t="s">
        <v>87</v>
      </c>
      <c r="C108" t="s">
        <v>471</v>
      </c>
      <c r="D108" t="s">
        <v>207</v>
      </c>
      <c r="E108">
        <v>15</v>
      </c>
      <c r="F108">
        <v>4</v>
      </c>
      <c r="G108">
        <v>19</v>
      </c>
      <c r="H108" t="s">
        <v>274</v>
      </c>
      <c r="I108" t="s">
        <v>250</v>
      </c>
      <c r="J108" s="5">
        <v>17</v>
      </c>
      <c r="K108" s="5">
        <v>15</v>
      </c>
      <c r="L108" s="5">
        <v>2</v>
      </c>
      <c r="M108" s="5">
        <v>18</v>
      </c>
      <c r="N108" s="5">
        <v>15</v>
      </c>
      <c r="O108" s="5">
        <v>3</v>
      </c>
      <c r="S108">
        <v>3</v>
      </c>
    </row>
    <row r="109" spans="1:19" x14ac:dyDescent="0.15">
      <c r="A109" s="12">
        <f>表紙!AP162</f>
        <v>30701</v>
      </c>
      <c r="B109" t="s">
        <v>205</v>
      </c>
      <c r="C109" t="s">
        <v>547</v>
      </c>
      <c r="D109" t="s">
        <v>207</v>
      </c>
      <c r="E109">
        <v>15</v>
      </c>
      <c r="F109">
        <v>3</v>
      </c>
      <c r="G109">
        <v>18</v>
      </c>
      <c r="H109">
        <v>15</v>
      </c>
      <c r="I109" t="s">
        <v>250</v>
      </c>
      <c r="J109" s="5">
        <v>15</v>
      </c>
      <c r="K109" s="5">
        <v>15</v>
      </c>
      <c r="L109" s="5"/>
      <c r="M109" s="5">
        <v>18</v>
      </c>
      <c r="N109" s="5">
        <v>15</v>
      </c>
      <c r="O109" s="5">
        <v>3</v>
      </c>
      <c r="S109">
        <v>3</v>
      </c>
    </row>
    <row r="110" spans="1:19" x14ac:dyDescent="0.15">
      <c r="A110" s="12">
        <f>表紙!AP163</f>
        <v>30801</v>
      </c>
      <c r="B110" t="s">
        <v>206</v>
      </c>
      <c r="C110" t="s">
        <v>548</v>
      </c>
      <c r="D110" t="s">
        <v>207</v>
      </c>
      <c r="E110">
        <v>20</v>
      </c>
      <c r="F110">
        <v>40</v>
      </c>
      <c r="G110">
        <v>60</v>
      </c>
      <c r="H110" t="s">
        <v>275</v>
      </c>
      <c r="I110" t="s">
        <v>276</v>
      </c>
      <c r="J110" s="5">
        <v>35</v>
      </c>
      <c r="K110" s="5">
        <v>20</v>
      </c>
      <c r="L110" s="5">
        <v>15</v>
      </c>
      <c r="M110" s="5">
        <v>52</v>
      </c>
      <c r="N110" s="5">
        <v>20</v>
      </c>
      <c r="O110" s="5">
        <v>32</v>
      </c>
      <c r="S110">
        <v>3</v>
      </c>
    </row>
    <row r="111" spans="1:19" x14ac:dyDescent="0.15">
      <c r="A111" s="12">
        <f>表紙!AP164</f>
        <v>30901</v>
      </c>
      <c r="B111" t="s">
        <v>208</v>
      </c>
      <c r="C111" t="s">
        <v>549</v>
      </c>
      <c r="D111" t="s">
        <v>123</v>
      </c>
      <c r="E111">
        <v>6</v>
      </c>
      <c r="F111">
        <v>3</v>
      </c>
      <c r="G111">
        <v>9</v>
      </c>
      <c r="H111">
        <v>9</v>
      </c>
      <c r="I111" t="s">
        <v>277</v>
      </c>
      <c r="J111" s="5">
        <v>9</v>
      </c>
      <c r="K111" s="5">
        <v>9</v>
      </c>
      <c r="L111" s="5"/>
      <c r="M111" s="5">
        <v>9</v>
      </c>
      <c r="N111" s="5">
        <v>6</v>
      </c>
      <c r="O111" s="5">
        <v>3</v>
      </c>
      <c r="S111">
        <v>2.5</v>
      </c>
    </row>
    <row r="112" spans="1:19" x14ac:dyDescent="0.15">
      <c r="A112" s="12">
        <f>表紙!AP165</f>
        <v>31001</v>
      </c>
      <c r="B112" t="s">
        <v>209</v>
      </c>
      <c r="C112" t="s">
        <v>472</v>
      </c>
      <c r="D112" t="s">
        <v>207</v>
      </c>
      <c r="E112">
        <v>15</v>
      </c>
      <c r="F112">
        <v>0</v>
      </c>
      <c r="G112">
        <v>15</v>
      </c>
      <c r="H112">
        <v>15</v>
      </c>
      <c r="I112">
        <v>15</v>
      </c>
      <c r="J112" s="5">
        <v>15</v>
      </c>
      <c r="K112" s="5">
        <v>15</v>
      </c>
      <c r="L112" s="5"/>
      <c r="M112" s="5">
        <v>15</v>
      </c>
      <c r="N112" s="5">
        <v>15</v>
      </c>
      <c r="O112" s="5"/>
      <c r="S112">
        <v>3</v>
      </c>
    </row>
    <row r="113" spans="1:19" x14ac:dyDescent="0.15">
      <c r="A113" s="12">
        <f>表紙!AP166</f>
        <v>31002</v>
      </c>
      <c r="B113" t="s">
        <v>209</v>
      </c>
      <c r="C113" t="s">
        <v>473</v>
      </c>
      <c r="D113" t="s">
        <v>207</v>
      </c>
      <c r="E113">
        <v>6</v>
      </c>
      <c r="F113">
        <v>0</v>
      </c>
      <c r="G113">
        <v>6</v>
      </c>
      <c r="H113">
        <v>6</v>
      </c>
      <c r="I113">
        <v>6</v>
      </c>
      <c r="J113" s="5">
        <v>6</v>
      </c>
      <c r="K113" s="5">
        <v>6</v>
      </c>
      <c r="L113" s="5"/>
      <c r="M113" s="5">
        <v>6</v>
      </c>
      <c r="N113" s="5">
        <v>6</v>
      </c>
      <c r="O113" s="5"/>
      <c r="S113">
        <v>0</v>
      </c>
    </row>
    <row r="114" spans="1:19" x14ac:dyDescent="0.15">
      <c r="A114" s="12">
        <f>表紙!AP167</f>
        <v>31101</v>
      </c>
      <c r="B114" t="s">
        <v>210</v>
      </c>
      <c r="C114" t="s">
        <v>474</v>
      </c>
      <c r="D114" t="s">
        <v>207</v>
      </c>
      <c r="E114">
        <v>15</v>
      </c>
      <c r="F114">
        <v>4</v>
      </c>
      <c r="G114">
        <v>19</v>
      </c>
      <c r="H114" t="s">
        <v>274</v>
      </c>
      <c r="I114" t="s">
        <v>250</v>
      </c>
      <c r="J114" s="5">
        <v>17</v>
      </c>
      <c r="K114" s="5">
        <v>15</v>
      </c>
      <c r="L114" s="5">
        <v>2</v>
      </c>
      <c r="M114" s="5">
        <v>18</v>
      </c>
      <c r="N114" s="5">
        <v>15</v>
      </c>
      <c r="O114" s="5">
        <v>3</v>
      </c>
      <c r="S114">
        <v>3</v>
      </c>
    </row>
    <row r="115" spans="1:19" x14ac:dyDescent="0.15">
      <c r="A115" s="12">
        <f>表紙!AP168</f>
        <v>40101</v>
      </c>
      <c r="B115" t="s">
        <v>211</v>
      </c>
      <c r="C115" t="s">
        <v>475</v>
      </c>
      <c r="D115" t="s">
        <v>123</v>
      </c>
      <c r="E115">
        <v>7</v>
      </c>
      <c r="F115">
        <v>3</v>
      </c>
      <c r="G115">
        <v>10</v>
      </c>
      <c r="H115">
        <v>4</v>
      </c>
      <c r="I115">
        <v>8</v>
      </c>
      <c r="J115" s="5">
        <v>4</v>
      </c>
      <c r="K115" s="5">
        <v>4</v>
      </c>
      <c r="L115" s="5"/>
      <c r="M115" s="5">
        <v>8</v>
      </c>
      <c r="N115" s="5">
        <v>8</v>
      </c>
      <c r="O115" s="5"/>
      <c r="R115" t="s">
        <v>212</v>
      </c>
    </row>
    <row r="116" spans="1:19" x14ac:dyDescent="0.15">
      <c r="A116" s="12">
        <f>表紙!AP169</f>
        <v>40102</v>
      </c>
      <c r="B116" t="s">
        <v>211</v>
      </c>
      <c r="C116" t="s">
        <v>476</v>
      </c>
      <c r="D116" t="s">
        <v>123</v>
      </c>
      <c r="E116">
        <v>10</v>
      </c>
      <c r="F116">
        <v>5</v>
      </c>
      <c r="G116">
        <v>15</v>
      </c>
      <c r="H116">
        <v>6</v>
      </c>
      <c r="I116">
        <v>12</v>
      </c>
      <c r="J116" s="5">
        <v>6</v>
      </c>
      <c r="K116" s="5">
        <v>6</v>
      </c>
      <c r="L116" s="5"/>
      <c r="M116" s="5">
        <v>12</v>
      </c>
      <c r="N116" s="5">
        <v>12</v>
      </c>
      <c r="O116" s="5"/>
      <c r="R116" t="s">
        <v>212</v>
      </c>
    </row>
    <row r="117" spans="1:19" x14ac:dyDescent="0.15">
      <c r="A117" s="12">
        <f>表紙!AP170</f>
        <v>40103</v>
      </c>
      <c r="B117" t="s">
        <v>211</v>
      </c>
      <c r="C117" t="s">
        <v>477</v>
      </c>
      <c r="D117" t="s">
        <v>123</v>
      </c>
      <c r="E117">
        <v>3</v>
      </c>
      <c r="F117">
        <v>0</v>
      </c>
      <c r="G117">
        <v>3</v>
      </c>
      <c r="H117" t="s">
        <v>278</v>
      </c>
      <c r="I117">
        <v>2</v>
      </c>
      <c r="J117" s="5">
        <v>1</v>
      </c>
      <c r="K117" s="5">
        <v>1</v>
      </c>
      <c r="L117" s="5"/>
      <c r="M117" s="5">
        <v>2</v>
      </c>
      <c r="N117" s="5">
        <v>2</v>
      </c>
      <c r="O117" s="5"/>
      <c r="R117" t="s">
        <v>213</v>
      </c>
    </row>
    <row r="118" spans="1:19" x14ac:dyDescent="0.15">
      <c r="A118" s="12">
        <f>表紙!AP171</f>
        <v>40104</v>
      </c>
      <c r="B118" t="s">
        <v>211</v>
      </c>
      <c r="C118" t="s">
        <v>478</v>
      </c>
      <c r="D118" t="s">
        <v>123</v>
      </c>
      <c r="E118">
        <v>5</v>
      </c>
      <c r="F118">
        <v>0</v>
      </c>
      <c r="G118">
        <v>5</v>
      </c>
      <c r="H118">
        <v>2</v>
      </c>
      <c r="I118" t="s">
        <v>130</v>
      </c>
      <c r="J118" s="5">
        <v>2</v>
      </c>
      <c r="K118" s="5">
        <v>2</v>
      </c>
      <c r="L118" s="5"/>
      <c r="M118" s="5">
        <v>3</v>
      </c>
      <c r="N118" s="5">
        <v>3</v>
      </c>
      <c r="O118" s="5"/>
      <c r="R118" t="s">
        <v>213</v>
      </c>
    </row>
    <row r="119" spans="1:19" x14ac:dyDescent="0.15">
      <c r="A119" s="12">
        <f>表紙!AP172</f>
        <v>40105</v>
      </c>
      <c r="B119" t="s">
        <v>211</v>
      </c>
      <c r="C119" t="s">
        <v>479</v>
      </c>
      <c r="D119" t="s">
        <v>123</v>
      </c>
      <c r="E119">
        <v>7</v>
      </c>
      <c r="F119">
        <v>3</v>
      </c>
      <c r="G119">
        <v>10</v>
      </c>
      <c r="H119" t="s">
        <v>130</v>
      </c>
      <c r="I119" t="s">
        <v>226</v>
      </c>
      <c r="J119" s="5">
        <v>3</v>
      </c>
      <c r="K119" s="5">
        <v>3</v>
      </c>
      <c r="L119" s="5"/>
      <c r="M119" s="5">
        <v>7</v>
      </c>
      <c r="N119" s="5">
        <v>7</v>
      </c>
      <c r="O119" s="5"/>
      <c r="R119" t="s">
        <v>213</v>
      </c>
    </row>
    <row r="120" spans="1:19" x14ac:dyDescent="0.15">
      <c r="A120" s="12">
        <f>表紙!AP173</f>
        <v>40106</v>
      </c>
      <c r="B120" t="s">
        <v>211</v>
      </c>
      <c r="C120" t="s">
        <v>480</v>
      </c>
      <c r="D120" t="s">
        <v>123</v>
      </c>
      <c r="E120">
        <v>10</v>
      </c>
      <c r="F120">
        <v>5</v>
      </c>
      <c r="G120">
        <v>15</v>
      </c>
      <c r="H120" t="s">
        <v>132</v>
      </c>
      <c r="I120" t="s">
        <v>240</v>
      </c>
      <c r="J120" s="5">
        <v>4</v>
      </c>
      <c r="K120" s="5">
        <v>4</v>
      </c>
      <c r="L120" s="5"/>
      <c r="M120" s="5">
        <v>10</v>
      </c>
      <c r="N120" s="5">
        <v>10</v>
      </c>
      <c r="O120" s="5"/>
      <c r="R120" t="s">
        <v>213</v>
      </c>
    </row>
    <row r="121" spans="1:19" x14ac:dyDescent="0.15">
      <c r="A121" s="12">
        <f>表紙!AP174</f>
        <v>40201</v>
      </c>
      <c r="B121" t="s">
        <v>214</v>
      </c>
      <c r="C121" t="s">
        <v>481</v>
      </c>
      <c r="E121" t="s">
        <v>131</v>
      </c>
      <c r="F121" t="s">
        <v>131</v>
      </c>
      <c r="G121" t="s">
        <v>116</v>
      </c>
      <c r="H121">
        <v>2</v>
      </c>
      <c r="I121">
        <v>2</v>
      </c>
      <c r="J121" s="5">
        <v>2</v>
      </c>
      <c r="K121" s="5">
        <v>2</v>
      </c>
      <c r="L121" s="5"/>
      <c r="M121" s="5">
        <v>2</v>
      </c>
      <c r="N121" s="5">
        <v>2</v>
      </c>
      <c r="O121" s="5"/>
    </row>
    <row r="122" spans="1:19" x14ac:dyDescent="0.15">
      <c r="A122" s="12">
        <f>表紙!AP175</f>
        <v>40202</v>
      </c>
      <c r="B122" t="s">
        <v>214</v>
      </c>
      <c r="C122" t="s">
        <v>482</v>
      </c>
      <c r="E122" t="s">
        <v>132</v>
      </c>
      <c r="F122" t="s">
        <v>220</v>
      </c>
      <c r="G122" t="s">
        <v>221</v>
      </c>
      <c r="H122" t="s">
        <v>279</v>
      </c>
      <c r="I122" t="s">
        <v>280</v>
      </c>
      <c r="J122" s="5">
        <v>2</v>
      </c>
      <c r="K122" s="5">
        <v>2</v>
      </c>
      <c r="L122" s="5"/>
      <c r="M122" s="5">
        <v>2</v>
      </c>
      <c r="N122" s="5">
        <v>2</v>
      </c>
      <c r="O122" s="5"/>
    </row>
    <row r="123" spans="1:19" x14ac:dyDescent="0.15">
      <c r="A123" s="12">
        <f>表紙!AP176</f>
        <v>40203</v>
      </c>
      <c r="B123" t="s">
        <v>214</v>
      </c>
      <c r="C123" t="s">
        <v>483</v>
      </c>
      <c r="E123" t="s">
        <v>222</v>
      </c>
      <c r="F123" t="s">
        <v>223</v>
      </c>
      <c r="G123" t="s">
        <v>224</v>
      </c>
      <c r="H123" t="s">
        <v>281</v>
      </c>
      <c r="I123" t="s">
        <v>282</v>
      </c>
      <c r="J123" s="5">
        <v>5</v>
      </c>
      <c r="K123" s="5">
        <v>5</v>
      </c>
      <c r="L123" s="5"/>
      <c r="M123" s="5">
        <v>10</v>
      </c>
      <c r="N123" s="5">
        <v>10</v>
      </c>
      <c r="O123" s="5"/>
    </row>
    <row r="124" spans="1:19" x14ac:dyDescent="0.15">
      <c r="A124" s="12">
        <f>表紙!AP177</f>
        <v>40204</v>
      </c>
      <c r="B124" t="s">
        <v>214</v>
      </c>
      <c r="C124" t="s">
        <v>484</v>
      </c>
      <c r="E124">
        <v>10</v>
      </c>
      <c r="F124">
        <v>5</v>
      </c>
      <c r="G124">
        <v>15</v>
      </c>
      <c r="H124" t="s">
        <v>240</v>
      </c>
      <c r="I124" t="s">
        <v>283</v>
      </c>
      <c r="J124" s="5">
        <v>10</v>
      </c>
      <c r="K124" s="5">
        <v>10</v>
      </c>
      <c r="L124" s="5"/>
      <c r="M124" s="5">
        <v>13</v>
      </c>
      <c r="N124" s="5">
        <v>13</v>
      </c>
      <c r="O124" s="5"/>
    </row>
    <row r="125" spans="1:19" x14ac:dyDescent="0.15">
      <c r="A125" s="12">
        <f>表紙!AP178</f>
        <v>40205</v>
      </c>
      <c r="B125" t="s">
        <v>214</v>
      </c>
      <c r="C125" t="s">
        <v>485</v>
      </c>
      <c r="E125" t="s">
        <v>131</v>
      </c>
      <c r="F125" t="s">
        <v>131</v>
      </c>
      <c r="G125" t="s">
        <v>116</v>
      </c>
      <c r="H125">
        <v>2</v>
      </c>
      <c r="I125">
        <v>2</v>
      </c>
      <c r="J125" s="5">
        <v>2</v>
      </c>
      <c r="K125" s="5">
        <v>2</v>
      </c>
      <c r="L125" s="5"/>
      <c r="M125" s="5">
        <v>2</v>
      </c>
      <c r="N125" s="5">
        <v>2</v>
      </c>
      <c r="O125" s="5"/>
    </row>
    <row r="126" spans="1:19" x14ac:dyDescent="0.15">
      <c r="A126" s="12">
        <f>表紙!AP179</f>
        <v>40206</v>
      </c>
      <c r="B126" t="s">
        <v>214</v>
      </c>
      <c r="C126" t="s">
        <v>486</v>
      </c>
      <c r="E126" t="s">
        <v>132</v>
      </c>
      <c r="F126" t="s">
        <v>220</v>
      </c>
      <c r="G126" t="s">
        <v>221</v>
      </c>
      <c r="H126" t="s">
        <v>279</v>
      </c>
      <c r="I126" t="s">
        <v>280</v>
      </c>
      <c r="J126" s="5">
        <v>2</v>
      </c>
      <c r="K126" s="5">
        <v>2</v>
      </c>
      <c r="L126" s="5"/>
      <c r="M126" s="5">
        <v>2</v>
      </c>
      <c r="N126" s="5">
        <v>2</v>
      </c>
      <c r="O126" s="5"/>
    </row>
    <row r="127" spans="1:19" x14ac:dyDescent="0.15">
      <c r="A127" s="12">
        <f>表紙!AP180</f>
        <v>40207</v>
      </c>
      <c r="B127" t="s">
        <v>214</v>
      </c>
      <c r="C127" t="s">
        <v>487</v>
      </c>
      <c r="E127" t="s">
        <v>222</v>
      </c>
      <c r="F127" t="s">
        <v>223</v>
      </c>
      <c r="G127" t="s">
        <v>224</v>
      </c>
      <c r="H127" t="s">
        <v>281</v>
      </c>
      <c r="I127" t="s">
        <v>282</v>
      </c>
      <c r="J127" s="5">
        <v>5</v>
      </c>
      <c r="K127" s="5">
        <v>5</v>
      </c>
      <c r="L127" s="5"/>
      <c r="M127" s="5">
        <v>10</v>
      </c>
      <c r="N127" s="5">
        <v>10</v>
      </c>
      <c r="O127" s="5"/>
    </row>
    <row r="128" spans="1:19" x14ac:dyDescent="0.15">
      <c r="A128" s="12">
        <f>表紙!AP181</f>
        <v>40208</v>
      </c>
      <c r="B128" t="s">
        <v>214</v>
      </c>
      <c r="C128" t="s">
        <v>488</v>
      </c>
      <c r="E128">
        <v>10</v>
      </c>
      <c r="F128">
        <v>5</v>
      </c>
      <c r="G128">
        <v>15</v>
      </c>
      <c r="H128" t="s">
        <v>240</v>
      </c>
      <c r="I128" t="s">
        <v>283</v>
      </c>
      <c r="J128" s="5">
        <v>10</v>
      </c>
      <c r="K128" s="5">
        <v>10</v>
      </c>
      <c r="L128" s="5"/>
      <c r="M128" s="5">
        <v>13</v>
      </c>
      <c r="N128" s="5">
        <v>13</v>
      </c>
      <c r="O128" s="5"/>
    </row>
    <row r="129" spans="1:18" x14ac:dyDescent="0.15">
      <c r="A129" s="12">
        <f>表紙!AP182</f>
        <v>40209</v>
      </c>
      <c r="B129" t="s">
        <v>214</v>
      </c>
      <c r="C129" t="s">
        <v>489</v>
      </c>
      <c r="E129" t="s">
        <v>131</v>
      </c>
      <c r="F129" t="s">
        <v>131</v>
      </c>
      <c r="G129" t="s">
        <v>116</v>
      </c>
      <c r="H129">
        <v>2</v>
      </c>
      <c r="I129">
        <v>2</v>
      </c>
      <c r="J129" s="5">
        <v>2</v>
      </c>
      <c r="K129" s="5">
        <v>2</v>
      </c>
      <c r="L129" s="5"/>
      <c r="M129" s="5">
        <v>2</v>
      </c>
      <c r="N129" s="5">
        <v>2</v>
      </c>
      <c r="O129" s="5"/>
    </row>
    <row r="130" spans="1:18" x14ac:dyDescent="0.15">
      <c r="A130" s="12">
        <f>表紙!AP183</f>
        <v>40210</v>
      </c>
      <c r="B130" t="s">
        <v>214</v>
      </c>
      <c r="C130" t="s">
        <v>490</v>
      </c>
      <c r="E130" t="s">
        <v>132</v>
      </c>
      <c r="F130" t="s">
        <v>220</v>
      </c>
      <c r="G130" t="s">
        <v>221</v>
      </c>
      <c r="H130" t="s">
        <v>279</v>
      </c>
      <c r="I130" t="s">
        <v>280</v>
      </c>
      <c r="J130" s="5">
        <v>2</v>
      </c>
      <c r="K130" s="5">
        <v>2</v>
      </c>
      <c r="L130" s="5"/>
      <c r="M130" s="5">
        <v>2</v>
      </c>
      <c r="N130" s="5">
        <v>2</v>
      </c>
      <c r="O130" s="5"/>
    </row>
    <row r="131" spans="1:18" x14ac:dyDescent="0.15">
      <c r="A131" s="12">
        <f>表紙!AP184</f>
        <v>40211</v>
      </c>
      <c r="B131" t="s">
        <v>214</v>
      </c>
      <c r="C131" t="s">
        <v>491</v>
      </c>
      <c r="E131" t="s">
        <v>222</v>
      </c>
      <c r="F131" t="s">
        <v>223</v>
      </c>
      <c r="G131" t="s">
        <v>224</v>
      </c>
      <c r="H131" t="s">
        <v>281</v>
      </c>
      <c r="I131" t="s">
        <v>282</v>
      </c>
      <c r="J131" s="5">
        <v>5</v>
      </c>
      <c r="K131" s="5">
        <v>5</v>
      </c>
      <c r="L131" s="5"/>
      <c r="M131" s="5">
        <v>10</v>
      </c>
      <c r="N131" s="5">
        <v>10</v>
      </c>
      <c r="O131" s="5"/>
    </row>
    <row r="132" spans="1:18" x14ac:dyDescent="0.15">
      <c r="A132" s="12">
        <f>表紙!AP185</f>
        <v>40212</v>
      </c>
      <c r="B132" t="s">
        <v>214</v>
      </c>
      <c r="C132" t="s">
        <v>492</v>
      </c>
      <c r="E132">
        <v>10</v>
      </c>
      <c r="F132">
        <v>5</v>
      </c>
      <c r="G132">
        <v>15</v>
      </c>
      <c r="H132" t="s">
        <v>240</v>
      </c>
      <c r="I132" t="s">
        <v>283</v>
      </c>
      <c r="J132" s="5">
        <v>10</v>
      </c>
      <c r="K132" s="5">
        <v>10</v>
      </c>
      <c r="L132" s="5"/>
      <c r="M132" s="5">
        <v>13</v>
      </c>
      <c r="N132" s="5">
        <v>13</v>
      </c>
      <c r="O132" s="5"/>
    </row>
    <row r="133" spans="1:18" x14ac:dyDescent="0.15">
      <c r="A133" s="12">
        <f>表紙!AP186</f>
        <v>40213</v>
      </c>
      <c r="B133" t="s">
        <v>214</v>
      </c>
      <c r="C133" t="s">
        <v>493</v>
      </c>
      <c r="E133">
        <v>0</v>
      </c>
      <c r="F133">
        <v>0</v>
      </c>
      <c r="G133">
        <v>0</v>
      </c>
      <c r="H133">
        <v>0</v>
      </c>
      <c r="I133">
        <v>0</v>
      </c>
      <c r="J133" s="5">
        <v>0</v>
      </c>
      <c r="K133" s="5">
        <v>0</v>
      </c>
      <c r="L133" s="5"/>
      <c r="M133" s="5">
        <v>0</v>
      </c>
      <c r="N133" s="5">
        <v>0</v>
      </c>
      <c r="O133" s="5"/>
    </row>
    <row r="134" spans="1:18" x14ac:dyDescent="0.15">
      <c r="A134" s="12">
        <f>表紙!AP187</f>
        <v>40214</v>
      </c>
      <c r="B134" t="s">
        <v>214</v>
      </c>
      <c r="C134" t="s">
        <v>494</v>
      </c>
      <c r="E134" t="s">
        <v>220</v>
      </c>
      <c r="F134" t="s">
        <v>131</v>
      </c>
      <c r="G134" t="s">
        <v>122</v>
      </c>
      <c r="H134" t="s">
        <v>284</v>
      </c>
      <c r="I134" t="s">
        <v>122</v>
      </c>
      <c r="J134" s="5">
        <v>1</v>
      </c>
      <c r="K134" s="5">
        <v>1</v>
      </c>
      <c r="L134" s="5"/>
      <c r="M134" s="5">
        <v>3</v>
      </c>
      <c r="N134" s="5">
        <v>3</v>
      </c>
      <c r="O134" s="5"/>
    </row>
    <row r="135" spans="1:18" x14ac:dyDescent="0.15">
      <c r="A135" s="12">
        <f>表紙!AP188</f>
        <v>40215</v>
      </c>
      <c r="B135" t="s">
        <v>214</v>
      </c>
      <c r="C135" t="s">
        <v>495</v>
      </c>
      <c r="E135" t="s">
        <v>132</v>
      </c>
      <c r="F135">
        <v>2</v>
      </c>
      <c r="G135" t="s">
        <v>225</v>
      </c>
      <c r="H135" t="s">
        <v>285</v>
      </c>
      <c r="I135" t="s">
        <v>221</v>
      </c>
      <c r="J135" s="5">
        <v>3</v>
      </c>
      <c r="K135" s="5">
        <v>3</v>
      </c>
      <c r="L135" s="5"/>
      <c r="M135" s="5">
        <v>6</v>
      </c>
      <c r="N135" s="5">
        <v>6</v>
      </c>
      <c r="O135" s="5"/>
    </row>
    <row r="136" spans="1:18" x14ac:dyDescent="0.15">
      <c r="A136" s="12">
        <f>表紙!AP189</f>
        <v>40216</v>
      </c>
      <c r="B136" t="s">
        <v>214</v>
      </c>
      <c r="C136" t="s">
        <v>496</v>
      </c>
      <c r="E136">
        <v>6</v>
      </c>
      <c r="F136">
        <v>2</v>
      </c>
      <c r="G136">
        <v>8</v>
      </c>
      <c r="H136">
        <v>6</v>
      </c>
      <c r="I136">
        <v>9</v>
      </c>
      <c r="J136" s="5">
        <v>6</v>
      </c>
      <c r="K136" s="5">
        <v>6</v>
      </c>
      <c r="L136" s="5"/>
      <c r="M136" s="5">
        <v>9</v>
      </c>
      <c r="N136" s="5">
        <v>9</v>
      </c>
      <c r="O136" s="5"/>
    </row>
    <row r="137" spans="1:18" x14ac:dyDescent="0.15">
      <c r="A137" s="12">
        <f>表紙!AP190</f>
        <v>40301</v>
      </c>
      <c r="B137" t="s">
        <v>215</v>
      </c>
      <c r="C137" t="s">
        <v>497</v>
      </c>
      <c r="E137">
        <v>3</v>
      </c>
      <c r="F137">
        <v>3</v>
      </c>
      <c r="G137">
        <v>6</v>
      </c>
      <c r="H137" t="s">
        <v>220</v>
      </c>
      <c r="I137" t="s">
        <v>223</v>
      </c>
      <c r="J137" s="5">
        <v>2</v>
      </c>
      <c r="K137" s="5">
        <v>2</v>
      </c>
      <c r="L137" s="5"/>
      <c r="M137" s="5">
        <v>4</v>
      </c>
      <c r="N137" s="5">
        <v>4</v>
      </c>
      <c r="O137" s="5"/>
      <c r="R137" t="s">
        <v>216</v>
      </c>
    </row>
    <row r="138" spans="1:18" x14ac:dyDescent="0.15">
      <c r="A138" s="12">
        <f>表紙!AP191</f>
        <v>40302</v>
      </c>
      <c r="B138" t="s">
        <v>215</v>
      </c>
      <c r="C138" t="s">
        <v>498</v>
      </c>
      <c r="E138">
        <v>5</v>
      </c>
      <c r="F138">
        <v>3</v>
      </c>
      <c r="G138">
        <v>8</v>
      </c>
      <c r="H138">
        <v>3</v>
      </c>
      <c r="I138" t="s">
        <v>286</v>
      </c>
      <c r="J138" s="5">
        <v>3</v>
      </c>
      <c r="K138" s="5">
        <v>3</v>
      </c>
      <c r="L138" s="5"/>
      <c r="M138" s="5">
        <v>5</v>
      </c>
      <c r="N138" s="5">
        <v>5</v>
      </c>
      <c r="O138" s="5"/>
      <c r="R138" t="s">
        <v>216</v>
      </c>
    </row>
    <row r="139" spans="1:18" x14ac:dyDescent="0.15">
      <c r="A139" s="12">
        <f>表紙!AP192</f>
        <v>40303</v>
      </c>
      <c r="B139" t="s">
        <v>215</v>
      </c>
      <c r="C139" t="s">
        <v>499</v>
      </c>
      <c r="E139">
        <v>7</v>
      </c>
      <c r="F139">
        <v>3</v>
      </c>
      <c r="G139">
        <v>10</v>
      </c>
      <c r="H139" t="s">
        <v>130</v>
      </c>
      <c r="I139" t="s">
        <v>226</v>
      </c>
      <c r="J139" s="5">
        <v>3</v>
      </c>
      <c r="K139" s="5">
        <v>3</v>
      </c>
      <c r="L139" s="5"/>
      <c r="M139" s="5">
        <v>7</v>
      </c>
      <c r="N139" s="5">
        <v>7</v>
      </c>
      <c r="O139" s="5"/>
      <c r="R139" t="s">
        <v>216</v>
      </c>
    </row>
    <row r="140" spans="1:18" x14ac:dyDescent="0.15">
      <c r="A140" s="12">
        <f>表紙!AP193</f>
        <v>40304</v>
      </c>
      <c r="B140" t="s">
        <v>215</v>
      </c>
      <c r="C140" t="s">
        <v>500</v>
      </c>
      <c r="E140">
        <v>10</v>
      </c>
      <c r="F140">
        <v>5</v>
      </c>
      <c r="G140">
        <v>15</v>
      </c>
      <c r="H140" t="s">
        <v>132</v>
      </c>
      <c r="I140" t="s">
        <v>240</v>
      </c>
      <c r="J140" s="5">
        <v>4</v>
      </c>
      <c r="K140" s="5">
        <v>4</v>
      </c>
      <c r="L140" s="5"/>
      <c r="M140" s="5">
        <v>10</v>
      </c>
      <c r="N140" s="5">
        <v>10</v>
      </c>
      <c r="O140" s="5"/>
      <c r="R140" t="s">
        <v>216</v>
      </c>
    </row>
    <row r="141" spans="1:18" x14ac:dyDescent="0.15">
      <c r="A141" s="12">
        <f>表紙!AP194</f>
        <v>40305</v>
      </c>
      <c r="B141" t="s">
        <v>215</v>
      </c>
      <c r="C141" t="s">
        <v>501</v>
      </c>
      <c r="E141">
        <v>3</v>
      </c>
      <c r="F141">
        <v>0</v>
      </c>
      <c r="G141">
        <v>3</v>
      </c>
      <c r="H141" t="s">
        <v>131</v>
      </c>
      <c r="I141">
        <v>2</v>
      </c>
      <c r="J141" s="5">
        <v>1</v>
      </c>
      <c r="K141" s="5">
        <v>1</v>
      </c>
      <c r="L141" s="5"/>
      <c r="M141" s="5">
        <v>2</v>
      </c>
      <c r="N141" s="5">
        <v>2</v>
      </c>
      <c r="O141" s="5"/>
      <c r="R141" t="s">
        <v>216</v>
      </c>
    </row>
    <row r="142" spans="1:18" x14ac:dyDescent="0.15">
      <c r="A142" s="12">
        <f>表紙!AP195</f>
        <v>40306</v>
      </c>
      <c r="B142" t="s">
        <v>215</v>
      </c>
      <c r="C142" t="s">
        <v>502</v>
      </c>
      <c r="E142">
        <v>5</v>
      </c>
      <c r="F142">
        <v>0</v>
      </c>
      <c r="G142">
        <v>5</v>
      </c>
      <c r="H142">
        <v>3</v>
      </c>
      <c r="I142" t="s">
        <v>130</v>
      </c>
      <c r="J142" s="5">
        <v>3</v>
      </c>
      <c r="K142" s="5">
        <v>3</v>
      </c>
      <c r="L142" s="5"/>
      <c r="M142" s="5">
        <v>3</v>
      </c>
      <c r="N142" s="5">
        <v>3</v>
      </c>
      <c r="O142" s="5"/>
      <c r="R142" t="s">
        <v>216</v>
      </c>
    </row>
    <row r="143" spans="1:18" x14ac:dyDescent="0.15">
      <c r="A143" s="12">
        <f>表紙!AP196</f>
        <v>40307</v>
      </c>
      <c r="B143" t="s">
        <v>215</v>
      </c>
      <c r="C143" t="s">
        <v>503</v>
      </c>
      <c r="E143">
        <v>7</v>
      </c>
      <c r="F143">
        <v>5</v>
      </c>
      <c r="G143">
        <v>10</v>
      </c>
      <c r="H143" t="s">
        <v>130</v>
      </c>
      <c r="I143" t="s">
        <v>226</v>
      </c>
      <c r="J143" s="5">
        <v>3</v>
      </c>
      <c r="K143" s="5">
        <v>3</v>
      </c>
      <c r="L143" s="5"/>
      <c r="M143" s="5">
        <v>7</v>
      </c>
      <c r="N143" s="5">
        <v>7</v>
      </c>
      <c r="O143" s="5"/>
      <c r="R143" t="s">
        <v>216</v>
      </c>
    </row>
    <row r="144" spans="1:18" x14ac:dyDescent="0.15">
      <c r="A144" s="12">
        <f>表紙!AP197</f>
        <v>40308</v>
      </c>
      <c r="B144" t="s">
        <v>215</v>
      </c>
      <c r="C144" t="s">
        <v>504</v>
      </c>
      <c r="E144">
        <v>10</v>
      </c>
      <c r="F144">
        <v>7</v>
      </c>
      <c r="G144">
        <v>15</v>
      </c>
      <c r="H144" t="s">
        <v>132</v>
      </c>
      <c r="I144" t="s">
        <v>240</v>
      </c>
      <c r="J144" s="5">
        <v>4</v>
      </c>
      <c r="K144" s="5">
        <v>4</v>
      </c>
      <c r="L144" s="5"/>
      <c r="M144" s="5">
        <v>10</v>
      </c>
      <c r="N144" s="5">
        <v>10</v>
      </c>
      <c r="O144" s="5"/>
      <c r="R144" t="s">
        <v>216</v>
      </c>
    </row>
    <row r="145" spans="1:16" x14ac:dyDescent="0.15">
      <c r="A145" s="12">
        <f>表紙!AP198</f>
        <v>40401</v>
      </c>
      <c r="B145" t="s">
        <v>218</v>
      </c>
      <c r="C145" t="s">
        <v>505</v>
      </c>
      <c r="E145">
        <v>5</v>
      </c>
      <c r="F145">
        <v>3</v>
      </c>
      <c r="G145">
        <v>8</v>
      </c>
      <c r="H145">
        <v>3</v>
      </c>
      <c r="I145" t="s">
        <v>289</v>
      </c>
      <c r="J145" s="5">
        <v>3</v>
      </c>
      <c r="K145" s="5">
        <v>3</v>
      </c>
      <c r="L145" s="5"/>
      <c r="M145" s="5">
        <v>6</v>
      </c>
      <c r="N145" s="5">
        <v>6</v>
      </c>
      <c r="O145" s="5"/>
    </row>
    <row r="146" spans="1:16" x14ac:dyDescent="0.15">
      <c r="A146" s="12">
        <f>表紙!AP199</f>
        <v>40402</v>
      </c>
      <c r="B146" t="s">
        <v>218</v>
      </c>
      <c r="C146" t="s">
        <v>506</v>
      </c>
      <c r="E146">
        <v>7</v>
      </c>
      <c r="F146">
        <v>3</v>
      </c>
      <c r="G146">
        <v>10</v>
      </c>
      <c r="H146" t="s">
        <v>130</v>
      </c>
      <c r="I146" t="s">
        <v>226</v>
      </c>
      <c r="J146" s="5">
        <v>3</v>
      </c>
      <c r="K146" s="5">
        <v>3</v>
      </c>
      <c r="L146" s="5"/>
      <c r="M146" s="5">
        <v>7</v>
      </c>
      <c r="N146" s="5">
        <v>7</v>
      </c>
      <c r="O146" s="5"/>
    </row>
    <row r="147" spans="1:16" x14ac:dyDescent="0.15">
      <c r="A147" s="12">
        <f>表紙!AP200</f>
        <v>40403</v>
      </c>
      <c r="B147" t="s">
        <v>218</v>
      </c>
      <c r="C147" t="s">
        <v>507</v>
      </c>
      <c r="E147">
        <v>8</v>
      </c>
      <c r="F147">
        <v>4</v>
      </c>
      <c r="G147">
        <v>12</v>
      </c>
      <c r="H147" t="s">
        <v>223</v>
      </c>
      <c r="I147" t="s">
        <v>290</v>
      </c>
      <c r="J147" s="5">
        <v>4</v>
      </c>
      <c r="K147" s="5">
        <v>4</v>
      </c>
      <c r="L147" s="5"/>
      <c r="M147" s="5">
        <v>9</v>
      </c>
      <c r="N147" s="5">
        <v>9</v>
      </c>
      <c r="O147" s="5"/>
    </row>
    <row r="148" spans="1:16" x14ac:dyDescent="0.15">
      <c r="A148" s="12">
        <f>表紙!AP201</f>
        <v>40404</v>
      </c>
      <c r="B148" t="s">
        <v>218</v>
      </c>
      <c r="C148" t="s">
        <v>508</v>
      </c>
      <c r="E148">
        <v>10</v>
      </c>
      <c r="F148">
        <v>5</v>
      </c>
      <c r="G148">
        <v>15</v>
      </c>
      <c r="H148" t="s">
        <v>286</v>
      </c>
      <c r="I148" t="s">
        <v>291</v>
      </c>
      <c r="J148" s="5">
        <v>5</v>
      </c>
      <c r="K148" s="5">
        <v>5</v>
      </c>
      <c r="L148" s="5"/>
      <c r="M148" s="5">
        <v>11</v>
      </c>
      <c r="N148" s="5">
        <v>11</v>
      </c>
      <c r="O148" s="5"/>
    </row>
    <row r="149" spans="1:16" x14ac:dyDescent="0.15">
      <c r="A149" s="12">
        <f>表紙!AP202</f>
        <v>40501</v>
      </c>
      <c r="B149" t="s">
        <v>219</v>
      </c>
      <c r="C149" t="s">
        <v>509</v>
      </c>
      <c r="E149">
        <v>6</v>
      </c>
      <c r="F149">
        <v>0</v>
      </c>
      <c r="G149">
        <v>6</v>
      </c>
      <c r="H149">
        <v>2</v>
      </c>
      <c r="I149" t="s">
        <v>223</v>
      </c>
      <c r="J149" s="5">
        <v>2</v>
      </c>
      <c r="K149" s="5">
        <v>2</v>
      </c>
      <c r="L149" s="5"/>
      <c r="M149" s="5">
        <v>4</v>
      </c>
      <c r="N149" s="5">
        <v>4</v>
      </c>
      <c r="O149" s="5"/>
    </row>
    <row r="150" spans="1:16" x14ac:dyDescent="0.15">
      <c r="A150" s="12">
        <f>表紙!AP203</f>
        <v>40502</v>
      </c>
      <c r="B150" t="s">
        <v>219</v>
      </c>
      <c r="C150" t="s">
        <v>510</v>
      </c>
      <c r="E150">
        <v>8</v>
      </c>
      <c r="F150">
        <v>0</v>
      </c>
      <c r="G150">
        <v>8</v>
      </c>
      <c r="H150">
        <v>3</v>
      </c>
      <c r="I150" t="s">
        <v>289</v>
      </c>
      <c r="J150" s="5">
        <v>3</v>
      </c>
      <c r="K150" s="5">
        <v>3</v>
      </c>
      <c r="L150" s="5"/>
      <c r="M150" s="5">
        <v>6</v>
      </c>
      <c r="N150" s="5">
        <v>6</v>
      </c>
      <c r="O150" s="5"/>
    </row>
    <row r="151" spans="1:16" x14ac:dyDescent="0.15">
      <c r="A151" s="12">
        <f>表紙!AP204</f>
        <v>40503</v>
      </c>
      <c r="B151" t="s">
        <v>219</v>
      </c>
      <c r="C151" t="s">
        <v>511</v>
      </c>
      <c r="E151">
        <v>10</v>
      </c>
      <c r="F151">
        <v>0</v>
      </c>
      <c r="G151">
        <v>10</v>
      </c>
      <c r="H151" t="s">
        <v>130</v>
      </c>
      <c r="I151" t="s">
        <v>226</v>
      </c>
      <c r="J151" s="5">
        <v>3</v>
      </c>
      <c r="K151" s="5">
        <v>3</v>
      </c>
      <c r="L151" s="5"/>
      <c r="M151" s="5">
        <v>7</v>
      </c>
      <c r="N151" s="5">
        <v>7</v>
      </c>
      <c r="O151" s="5"/>
    </row>
    <row r="152" spans="1:16" x14ac:dyDescent="0.15">
      <c r="A152" s="12">
        <f>表紙!AP205</f>
        <v>40504</v>
      </c>
      <c r="B152" t="s">
        <v>219</v>
      </c>
      <c r="C152" t="s">
        <v>512</v>
      </c>
      <c r="E152">
        <v>15</v>
      </c>
      <c r="F152">
        <v>0</v>
      </c>
      <c r="G152">
        <v>15</v>
      </c>
      <c r="H152" t="s">
        <v>286</v>
      </c>
      <c r="I152" t="s">
        <v>292</v>
      </c>
      <c r="J152" s="5">
        <v>5</v>
      </c>
      <c r="K152" s="5">
        <v>5</v>
      </c>
      <c r="L152" s="5"/>
      <c r="M152" s="5">
        <v>11</v>
      </c>
      <c r="N152" s="5">
        <v>11</v>
      </c>
      <c r="O152" s="5"/>
    </row>
    <row r="153" spans="1:16" x14ac:dyDescent="0.15">
      <c r="A153" s="12">
        <f>表紙!AP206</f>
        <v>40601</v>
      </c>
      <c r="B153" t="s">
        <v>217</v>
      </c>
      <c r="C153" t="s">
        <v>513</v>
      </c>
      <c r="E153">
        <v>3</v>
      </c>
      <c r="F153">
        <v>0</v>
      </c>
      <c r="G153">
        <v>3</v>
      </c>
      <c r="H153" t="s">
        <v>131</v>
      </c>
      <c r="I153" t="s">
        <v>220</v>
      </c>
      <c r="J153" s="5">
        <v>1</v>
      </c>
      <c r="K153" s="5">
        <v>1</v>
      </c>
      <c r="L153" s="5"/>
      <c r="M153" s="5">
        <v>2</v>
      </c>
      <c r="N153" s="5">
        <v>2</v>
      </c>
      <c r="O153" s="5"/>
    </row>
    <row r="154" spans="1:16" x14ac:dyDescent="0.15">
      <c r="A154" s="12">
        <f>表紙!AP207</f>
        <v>40602</v>
      </c>
      <c r="B154" t="s">
        <v>217</v>
      </c>
      <c r="C154" t="s">
        <v>514</v>
      </c>
      <c r="E154" t="s">
        <v>223</v>
      </c>
      <c r="F154" t="s">
        <v>131</v>
      </c>
      <c r="G154">
        <v>6</v>
      </c>
      <c r="H154">
        <v>3</v>
      </c>
      <c r="I154" t="s">
        <v>223</v>
      </c>
      <c r="J154" s="5">
        <v>3</v>
      </c>
      <c r="K154" s="5">
        <v>3</v>
      </c>
      <c r="L154" s="5"/>
      <c r="M154" s="5">
        <v>4</v>
      </c>
      <c r="N154" s="5">
        <v>4</v>
      </c>
      <c r="O154" s="5"/>
    </row>
    <row r="155" spans="1:16" x14ac:dyDescent="0.15">
      <c r="A155" s="12">
        <f>表紙!AP208</f>
        <v>40603</v>
      </c>
      <c r="B155" t="s">
        <v>217</v>
      </c>
      <c r="C155" t="s">
        <v>515</v>
      </c>
      <c r="E155" t="s">
        <v>226</v>
      </c>
      <c r="F155" t="s">
        <v>220</v>
      </c>
      <c r="G155">
        <v>10</v>
      </c>
      <c r="H155">
        <v>5</v>
      </c>
      <c r="I155">
        <v>8</v>
      </c>
      <c r="J155" s="5">
        <v>5</v>
      </c>
      <c r="K155" s="5">
        <v>5</v>
      </c>
      <c r="L155" s="5"/>
      <c r="M155" s="5">
        <v>8</v>
      </c>
      <c r="N155" s="5">
        <v>8</v>
      </c>
      <c r="O155" s="5"/>
    </row>
    <row r="156" spans="1:16" x14ac:dyDescent="0.15">
      <c r="A156" s="12">
        <f>表紙!AP209</f>
        <v>40604</v>
      </c>
      <c r="B156" t="s">
        <v>217</v>
      </c>
      <c r="C156" t="s">
        <v>516</v>
      </c>
      <c r="E156" t="s">
        <v>222</v>
      </c>
      <c r="F156" t="s">
        <v>116</v>
      </c>
      <c r="G156">
        <v>12</v>
      </c>
      <c r="H156">
        <v>6</v>
      </c>
      <c r="I156" t="s">
        <v>287</v>
      </c>
      <c r="J156" s="5">
        <v>6</v>
      </c>
      <c r="K156" s="5">
        <v>6</v>
      </c>
      <c r="L156" s="5"/>
      <c r="M156" s="5">
        <v>9</v>
      </c>
      <c r="N156" s="5">
        <v>9</v>
      </c>
      <c r="O156" s="5"/>
    </row>
    <row r="157" spans="1:16" x14ac:dyDescent="0.15">
      <c r="A157" s="12">
        <f>表紙!AP210</f>
        <v>40605</v>
      </c>
      <c r="B157" t="s">
        <v>217</v>
      </c>
      <c r="C157" t="s">
        <v>517</v>
      </c>
      <c r="E157" t="s">
        <v>227</v>
      </c>
      <c r="F157" t="s">
        <v>130</v>
      </c>
      <c r="G157">
        <v>14</v>
      </c>
      <c r="H157">
        <v>7</v>
      </c>
      <c r="I157" t="s">
        <v>288</v>
      </c>
      <c r="J157" s="5">
        <v>7</v>
      </c>
      <c r="K157" s="5">
        <v>7</v>
      </c>
      <c r="L157" s="5"/>
      <c r="M157" s="5">
        <v>11</v>
      </c>
      <c r="N157" s="5">
        <v>11</v>
      </c>
      <c r="O157" s="5"/>
    </row>
    <row r="158" spans="1:16" x14ac:dyDescent="0.15">
      <c r="A158" s="12">
        <f>表紙!AP211</f>
        <v>40606</v>
      </c>
      <c r="B158" t="s">
        <v>217</v>
      </c>
      <c r="C158" t="s">
        <v>518</v>
      </c>
      <c r="E158" t="s">
        <v>228</v>
      </c>
      <c r="F158" t="s">
        <v>132</v>
      </c>
      <c r="G158">
        <v>20</v>
      </c>
      <c r="H158">
        <v>10</v>
      </c>
      <c r="I158">
        <v>16</v>
      </c>
      <c r="J158" s="5">
        <v>10</v>
      </c>
      <c r="K158" s="5">
        <v>10</v>
      </c>
      <c r="L158" s="5"/>
      <c r="M158" s="5">
        <v>16</v>
      </c>
      <c r="N158" s="5">
        <v>16</v>
      </c>
      <c r="O158" s="5"/>
    </row>
    <row r="159" spans="1:16" x14ac:dyDescent="0.15">
      <c r="A159" s="12">
        <f>表紙!AP212</f>
        <v>50101</v>
      </c>
      <c r="B159" t="s">
        <v>552</v>
      </c>
      <c r="C159" t="s">
        <v>554</v>
      </c>
      <c r="E159">
        <v>10</v>
      </c>
      <c r="G159">
        <v>10</v>
      </c>
      <c r="H159">
        <v>5</v>
      </c>
      <c r="I159">
        <v>10</v>
      </c>
      <c r="J159" s="5">
        <v>5</v>
      </c>
      <c r="K159">
        <v>5</v>
      </c>
      <c r="L159" s="5"/>
      <c r="M159">
        <v>10</v>
      </c>
      <c r="N159">
        <v>10</v>
      </c>
      <c r="O159" s="5"/>
      <c r="P159">
        <v>100</v>
      </c>
    </row>
    <row r="160" spans="1:16" x14ac:dyDescent="0.15">
      <c r="A160" s="12">
        <f>表紙!AP213</f>
        <v>50102</v>
      </c>
      <c r="B160" t="s">
        <v>552</v>
      </c>
      <c r="C160" t="s">
        <v>553</v>
      </c>
      <c r="E160">
        <v>5</v>
      </c>
      <c r="G160">
        <v>5</v>
      </c>
      <c r="H160">
        <v>2.5</v>
      </c>
      <c r="I160">
        <v>5</v>
      </c>
      <c r="J160" s="5">
        <v>2.5</v>
      </c>
      <c r="K160">
        <v>2.5</v>
      </c>
      <c r="L160" s="5"/>
      <c r="M160">
        <v>5</v>
      </c>
      <c r="N160">
        <v>5</v>
      </c>
      <c r="O160" s="5"/>
      <c r="P160">
        <v>100</v>
      </c>
    </row>
    <row r="161" spans="1:18" x14ac:dyDescent="0.15">
      <c r="A161" s="12">
        <f>表紙!AP214</f>
        <v>50103</v>
      </c>
      <c r="B161" t="s">
        <v>552</v>
      </c>
      <c r="C161" t="s">
        <v>555</v>
      </c>
      <c r="E161">
        <v>10</v>
      </c>
      <c r="G161">
        <v>10</v>
      </c>
      <c r="H161">
        <v>5</v>
      </c>
      <c r="I161">
        <v>10</v>
      </c>
      <c r="J161" s="5">
        <v>5</v>
      </c>
      <c r="K161">
        <v>5</v>
      </c>
      <c r="L161" s="5"/>
      <c r="M161">
        <v>10</v>
      </c>
      <c r="N161">
        <v>10</v>
      </c>
      <c r="O161" s="5"/>
      <c r="P161">
        <v>100</v>
      </c>
      <c r="R161" t="s">
        <v>609</v>
      </c>
    </row>
    <row r="162" spans="1:18" x14ac:dyDescent="0.15">
      <c r="A162" s="12">
        <f>表紙!AP215</f>
        <v>50104</v>
      </c>
      <c r="B162" t="s">
        <v>552</v>
      </c>
      <c r="C162" t="s">
        <v>556</v>
      </c>
      <c r="E162">
        <v>5</v>
      </c>
      <c r="G162">
        <v>5</v>
      </c>
      <c r="H162">
        <v>2.5</v>
      </c>
      <c r="I162">
        <v>5</v>
      </c>
      <c r="J162" s="5">
        <v>2.5</v>
      </c>
      <c r="K162">
        <v>2.5</v>
      </c>
      <c r="L162" s="5"/>
      <c r="M162">
        <v>5</v>
      </c>
      <c r="N162">
        <v>5</v>
      </c>
      <c r="O162" s="5"/>
      <c r="P162">
        <v>100</v>
      </c>
    </row>
    <row r="163" spans="1:18" x14ac:dyDescent="0.15">
      <c r="A163" s="12">
        <f>表紙!AP216</f>
        <v>50105</v>
      </c>
      <c r="B163" t="s">
        <v>552</v>
      </c>
      <c r="C163" t="s">
        <v>557</v>
      </c>
      <c r="E163" t="s">
        <v>223</v>
      </c>
      <c r="G163" t="s">
        <v>223</v>
      </c>
      <c r="H163" t="s">
        <v>286</v>
      </c>
      <c r="I163" t="s">
        <v>578</v>
      </c>
      <c r="J163">
        <v>5</v>
      </c>
      <c r="K163" t="s">
        <v>286</v>
      </c>
      <c r="L163" s="5"/>
      <c r="M163">
        <v>5</v>
      </c>
      <c r="N163" t="s">
        <v>578</v>
      </c>
      <c r="O163" s="5"/>
      <c r="P163">
        <v>100</v>
      </c>
      <c r="R163" t="s">
        <v>611</v>
      </c>
    </row>
    <row r="164" spans="1:18" x14ac:dyDescent="0.15">
      <c r="A164" s="12">
        <f>表紙!AP217</f>
        <v>50106</v>
      </c>
      <c r="B164" t="s">
        <v>552</v>
      </c>
      <c r="C164" t="s">
        <v>558</v>
      </c>
      <c r="E164" t="s">
        <v>223</v>
      </c>
      <c r="G164" t="s">
        <v>223</v>
      </c>
      <c r="H164" t="s">
        <v>286</v>
      </c>
      <c r="I164" t="s">
        <v>578</v>
      </c>
      <c r="J164">
        <v>5</v>
      </c>
      <c r="K164" t="s">
        <v>286</v>
      </c>
      <c r="L164" s="5"/>
      <c r="M164">
        <v>5</v>
      </c>
      <c r="N164" t="s">
        <v>578</v>
      </c>
      <c r="O164" s="5"/>
      <c r="P164">
        <v>100</v>
      </c>
      <c r="R164" t="s">
        <v>611</v>
      </c>
    </row>
    <row r="165" spans="1:18" x14ac:dyDescent="0.15">
      <c r="A165" s="12">
        <f>表紙!AP218</f>
        <v>50201</v>
      </c>
      <c r="B165" t="s">
        <v>559</v>
      </c>
      <c r="C165" t="s">
        <v>612</v>
      </c>
      <c r="H165">
        <v>5</v>
      </c>
      <c r="I165">
        <v>10</v>
      </c>
      <c r="J165" s="5">
        <v>5</v>
      </c>
      <c r="K165">
        <v>5</v>
      </c>
      <c r="L165" s="5"/>
      <c r="M165">
        <v>10</v>
      </c>
      <c r="N165">
        <v>10</v>
      </c>
      <c r="O165" s="5"/>
      <c r="P165">
        <v>100</v>
      </c>
    </row>
    <row r="166" spans="1:18" x14ac:dyDescent="0.15">
      <c r="A166" s="12">
        <f>表紙!AP219</f>
        <v>50202</v>
      </c>
      <c r="B166" t="s">
        <v>559</v>
      </c>
      <c r="C166" t="s">
        <v>614</v>
      </c>
      <c r="H166">
        <v>2.5</v>
      </c>
      <c r="I166">
        <v>5</v>
      </c>
      <c r="J166" s="5">
        <v>2.5</v>
      </c>
      <c r="K166">
        <v>2.5</v>
      </c>
      <c r="L166" s="5"/>
      <c r="M166">
        <v>5</v>
      </c>
      <c r="N166">
        <v>5</v>
      </c>
      <c r="O166" s="5"/>
      <c r="P166">
        <v>100</v>
      </c>
    </row>
    <row r="167" spans="1:18" x14ac:dyDescent="0.15">
      <c r="A167" s="12">
        <f>表紙!AP220</f>
        <v>50203</v>
      </c>
      <c r="B167" t="s">
        <v>559</v>
      </c>
      <c r="C167" t="s">
        <v>616</v>
      </c>
      <c r="H167">
        <v>5</v>
      </c>
      <c r="I167">
        <v>10</v>
      </c>
      <c r="J167" s="5">
        <v>5</v>
      </c>
      <c r="K167">
        <v>5</v>
      </c>
      <c r="L167" s="5"/>
      <c r="M167">
        <v>10</v>
      </c>
      <c r="N167">
        <v>10</v>
      </c>
      <c r="O167" s="5"/>
      <c r="P167">
        <v>100</v>
      </c>
    </row>
    <row r="168" spans="1:18" x14ac:dyDescent="0.15">
      <c r="A168" s="12">
        <f>表紙!AP221</f>
        <v>50204</v>
      </c>
      <c r="B168" t="s">
        <v>559</v>
      </c>
      <c r="C168" t="s">
        <v>618</v>
      </c>
      <c r="H168">
        <v>2.5</v>
      </c>
      <c r="I168">
        <v>5</v>
      </c>
      <c r="J168" s="5">
        <v>2.5</v>
      </c>
      <c r="K168">
        <v>2.5</v>
      </c>
      <c r="L168" s="5"/>
      <c r="M168">
        <v>5</v>
      </c>
      <c r="N168">
        <v>5</v>
      </c>
      <c r="O168" s="5"/>
      <c r="P168">
        <v>100</v>
      </c>
    </row>
    <row r="169" spans="1:18" x14ac:dyDescent="0.15">
      <c r="A169" s="12">
        <f>表紙!AP222</f>
        <v>50301</v>
      </c>
      <c r="B169" t="s">
        <v>560</v>
      </c>
      <c r="C169" t="s">
        <v>575</v>
      </c>
      <c r="E169">
        <v>6</v>
      </c>
      <c r="G169">
        <v>6</v>
      </c>
      <c r="H169">
        <v>3</v>
      </c>
      <c r="I169">
        <v>3</v>
      </c>
      <c r="J169" s="5">
        <v>3</v>
      </c>
      <c r="K169">
        <v>3</v>
      </c>
      <c r="L169" s="5"/>
      <c r="M169">
        <v>3</v>
      </c>
      <c r="N169">
        <v>3</v>
      </c>
      <c r="O169" s="5"/>
      <c r="Q169">
        <v>1.5</v>
      </c>
    </row>
    <row r="170" spans="1:18" x14ac:dyDescent="0.15">
      <c r="A170" s="12">
        <f>表紙!AP223</f>
        <v>50302</v>
      </c>
      <c r="B170" t="s">
        <v>560</v>
      </c>
      <c r="C170" t="s">
        <v>576</v>
      </c>
      <c r="E170">
        <v>6</v>
      </c>
      <c r="G170">
        <v>6</v>
      </c>
      <c r="H170">
        <v>3</v>
      </c>
      <c r="I170">
        <v>3</v>
      </c>
      <c r="J170" s="5">
        <v>3</v>
      </c>
      <c r="K170">
        <v>3</v>
      </c>
      <c r="L170" s="5"/>
      <c r="M170">
        <v>3</v>
      </c>
      <c r="N170">
        <v>3</v>
      </c>
      <c r="O170" s="5"/>
      <c r="Q170">
        <v>1.5</v>
      </c>
    </row>
    <row r="171" spans="1:18" x14ac:dyDescent="0.15">
      <c r="A171" s="12">
        <f>表紙!AP224</f>
        <v>50303</v>
      </c>
      <c r="B171" t="s">
        <v>560</v>
      </c>
      <c r="C171" t="s">
        <v>577</v>
      </c>
      <c r="E171">
        <v>6</v>
      </c>
      <c r="G171">
        <v>6</v>
      </c>
      <c r="H171">
        <v>3</v>
      </c>
      <c r="I171">
        <v>3</v>
      </c>
      <c r="J171" s="5">
        <v>3</v>
      </c>
      <c r="K171">
        <v>3</v>
      </c>
      <c r="L171" s="5"/>
      <c r="M171">
        <v>3</v>
      </c>
      <c r="N171">
        <v>3</v>
      </c>
      <c r="O171" s="5"/>
      <c r="Q171">
        <v>1.5</v>
      </c>
    </row>
    <row r="172" spans="1:18" x14ac:dyDescent="0.15">
      <c r="A172" s="12">
        <f>表紙!AP225</f>
        <v>50304</v>
      </c>
      <c r="B172" t="s">
        <v>560</v>
      </c>
      <c r="C172" t="s">
        <v>620</v>
      </c>
      <c r="E172">
        <v>6</v>
      </c>
      <c r="G172">
        <v>6</v>
      </c>
      <c r="H172">
        <v>3</v>
      </c>
      <c r="I172">
        <v>3</v>
      </c>
      <c r="J172" s="5">
        <v>3</v>
      </c>
      <c r="K172">
        <v>3</v>
      </c>
      <c r="L172" s="5"/>
      <c r="M172">
        <v>3</v>
      </c>
      <c r="N172">
        <v>3</v>
      </c>
      <c r="O172" s="5"/>
      <c r="Q172">
        <v>1.5</v>
      </c>
    </row>
    <row r="173" spans="1:18" x14ac:dyDescent="0.15">
      <c r="A173" s="12">
        <f>表紙!AP226</f>
        <v>50401</v>
      </c>
      <c r="B173" t="s">
        <v>561</v>
      </c>
      <c r="C173" t="s">
        <v>568</v>
      </c>
      <c r="E173">
        <v>15</v>
      </c>
      <c r="G173">
        <v>15</v>
      </c>
      <c r="H173">
        <v>12</v>
      </c>
      <c r="I173">
        <v>10</v>
      </c>
      <c r="J173" s="5">
        <v>12</v>
      </c>
      <c r="K173">
        <v>12</v>
      </c>
      <c r="L173" s="5"/>
      <c r="M173">
        <v>10</v>
      </c>
      <c r="N173">
        <v>10</v>
      </c>
      <c r="O173" s="5"/>
    </row>
    <row r="174" spans="1:18" x14ac:dyDescent="0.15">
      <c r="A174" s="12">
        <f>表紙!AP227</f>
        <v>50402</v>
      </c>
      <c r="B174" t="s">
        <v>561</v>
      </c>
      <c r="C174" t="s">
        <v>569</v>
      </c>
      <c r="E174">
        <v>15</v>
      </c>
      <c r="G174">
        <v>15</v>
      </c>
      <c r="H174">
        <v>12</v>
      </c>
      <c r="I174">
        <v>10</v>
      </c>
      <c r="J174" s="5">
        <v>12</v>
      </c>
      <c r="K174">
        <v>12</v>
      </c>
      <c r="L174" s="5"/>
      <c r="M174">
        <v>10</v>
      </c>
      <c r="N174">
        <v>10</v>
      </c>
      <c r="O174" s="5"/>
    </row>
    <row r="175" spans="1:18" x14ac:dyDescent="0.15">
      <c r="A175" s="12">
        <f>表紙!AP228</f>
        <v>50403</v>
      </c>
      <c r="B175" t="s">
        <v>561</v>
      </c>
      <c r="C175" t="s">
        <v>570</v>
      </c>
      <c r="E175">
        <v>15</v>
      </c>
      <c r="G175">
        <v>15</v>
      </c>
      <c r="H175">
        <v>12</v>
      </c>
      <c r="I175">
        <v>10</v>
      </c>
      <c r="J175" s="5">
        <v>12</v>
      </c>
      <c r="K175">
        <v>12</v>
      </c>
      <c r="L175" s="5"/>
      <c r="M175">
        <v>10</v>
      </c>
      <c r="N175">
        <v>10</v>
      </c>
      <c r="O175" s="5"/>
    </row>
    <row r="176" spans="1:18" x14ac:dyDescent="0.15">
      <c r="A176" s="12">
        <f>表紙!AP229</f>
        <v>50404</v>
      </c>
      <c r="B176" t="s">
        <v>561</v>
      </c>
      <c r="C176" t="s">
        <v>571</v>
      </c>
      <c r="E176">
        <v>15</v>
      </c>
      <c r="G176">
        <v>15</v>
      </c>
      <c r="H176">
        <v>12</v>
      </c>
      <c r="I176">
        <v>10</v>
      </c>
      <c r="J176" s="5">
        <v>12</v>
      </c>
      <c r="K176">
        <v>12</v>
      </c>
      <c r="L176" s="5"/>
      <c r="M176">
        <v>10</v>
      </c>
      <c r="N176">
        <v>10</v>
      </c>
      <c r="O176" s="5"/>
    </row>
    <row r="177" spans="1:15" x14ac:dyDescent="0.15">
      <c r="A177" s="12">
        <f>表紙!AP230</f>
        <v>50501</v>
      </c>
      <c r="B177" t="s">
        <v>562</v>
      </c>
      <c r="C177" t="s">
        <v>572</v>
      </c>
      <c r="E177">
        <v>10</v>
      </c>
      <c r="G177">
        <v>10</v>
      </c>
      <c r="H177">
        <v>12</v>
      </c>
      <c r="I177">
        <v>10</v>
      </c>
      <c r="J177" s="5">
        <v>12</v>
      </c>
      <c r="K177">
        <v>12</v>
      </c>
      <c r="L177" s="5"/>
      <c r="M177">
        <v>10</v>
      </c>
      <c r="N177">
        <v>10</v>
      </c>
      <c r="O177" s="5"/>
    </row>
    <row r="178" spans="1:15" x14ac:dyDescent="0.15">
      <c r="A178" s="12">
        <f>表紙!AP231</f>
        <v>50502</v>
      </c>
      <c r="B178" t="s">
        <v>562</v>
      </c>
      <c r="C178" t="s">
        <v>573</v>
      </c>
      <c r="E178">
        <v>10</v>
      </c>
      <c r="G178">
        <v>10</v>
      </c>
      <c r="H178">
        <v>12</v>
      </c>
      <c r="I178">
        <v>10</v>
      </c>
      <c r="J178" s="5">
        <v>12</v>
      </c>
      <c r="K178">
        <v>12</v>
      </c>
      <c r="L178" s="5"/>
      <c r="M178">
        <v>10</v>
      </c>
      <c r="N178">
        <v>10</v>
      </c>
      <c r="O178" s="5"/>
    </row>
    <row r="179" spans="1:15" x14ac:dyDescent="0.15">
      <c r="A179" s="12">
        <f>表紙!AP232</f>
        <v>50503</v>
      </c>
      <c r="B179" t="s">
        <v>562</v>
      </c>
      <c r="C179" t="s">
        <v>563</v>
      </c>
      <c r="E179">
        <v>5</v>
      </c>
      <c r="G179">
        <v>5</v>
      </c>
      <c r="H179">
        <v>12</v>
      </c>
      <c r="I179">
        <v>10</v>
      </c>
      <c r="J179" s="5">
        <v>12</v>
      </c>
      <c r="K179">
        <v>12</v>
      </c>
      <c r="L179" s="5"/>
      <c r="M179">
        <v>10</v>
      </c>
      <c r="N179">
        <v>10</v>
      </c>
      <c r="O179" s="5"/>
    </row>
    <row r="180" spans="1:15" x14ac:dyDescent="0.15">
      <c r="A180" s="12">
        <f>表紙!AP233</f>
        <v>50601</v>
      </c>
      <c r="B180" t="s">
        <v>574</v>
      </c>
      <c r="C180" t="s">
        <v>564</v>
      </c>
      <c r="E180">
        <v>8</v>
      </c>
      <c r="F180">
        <v>3</v>
      </c>
      <c r="G180">
        <v>8</v>
      </c>
      <c r="H180">
        <v>10</v>
      </c>
      <c r="I180">
        <v>8</v>
      </c>
      <c r="J180" s="5">
        <v>10</v>
      </c>
      <c r="K180">
        <v>10</v>
      </c>
      <c r="L180" s="5"/>
      <c r="M180">
        <v>8</v>
      </c>
      <c r="N180">
        <v>8</v>
      </c>
      <c r="O180" s="5"/>
    </row>
    <row r="181" spans="1:15" x14ac:dyDescent="0.15">
      <c r="A181" s="12">
        <f>表紙!AP234</f>
        <v>50602</v>
      </c>
      <c r="B181" t="s">
        <v>574</v>
      </c>
      <c r="C181" t="s">
        <v>565</v>
      </c>
      <c r="E181">
        <v>8</v>
      </c>
      <c r="F181">
        <v>3</v>
      </c>
      <c r="G181">
        <v>8</v>
      </c>
      <c r="H181">
        <v>10</v>
      </c>
      <c r="I181">
        <v>8</v>
      </c>
      <c r="J181" s="5">
        <v>10</v>
      </c>
      <c r="K181">
        <v>10</v>
      </c>
      <c r="L181" s="5"/>
      <c r="M181">
        <v>8</v>
      </c>
      <c r="N181">
        <v>8</v>
      </c>
      <c r="O181" s="5"/>
    </row>
    <row r="182" spans="1:15" x14ac:dyDescent="0.15">
      <c r="A182" s="12">
        <f>表紙!AP235</f>
        <v>50603</v>
      </c>
      <c r="B182" t="s">
        <v>574</v>
      </c>
      <c r="C182" t="s">
        <v>566</v>
      </c>
      <c r="E182">
        <v>8</v>
      </c>
      <c r="F182">
        <v>3</v>
      </c>
      <c r="G182">
        <v>8</v>
      </c>
      <c r="H182">
        <v>10</v>
      </c>
      <c r="I182">
        <v>8</v>
      </c>
      <c r="J182" s="5">
        <v>10</v>
      </c>
      <c r="K182">
        <v>10</v>
      </c>
      <c r="L182" s="5"/>
      <c r="M182">
        <v>8</v>
      </c>
      <c r="N182">
        <v>8</v>
      </c>
      <c r="O182" s="5"/>
    </row>
    <row r="183" spans="1:15" x14ac:dyDescent="0.15">
      <c r="A183" s="12">
        <f>表紙!AP236</f>
        <v>50604</v>
      </c>
      <c r="B183" t="s">
        <v>574</v>
      </c>
      <c r="C183" t="s">
        <v>567</v>
      </c>
      <c r="E183">
        <v>10</v>
      </c>
      <c r="G183">
        <v>10</v>
      </c>
      <c r="H183">
        <v>12</v>
      </c>
      <c r="I183">
        <v>10</v>
      </c>
      <c r="J183" s="5">
        <v>12</v>
      </c>
      <c r="K183">
        <v>12</v>
      </c>
      <c r="L183" s="5"/>
      <c r="M183">
        <v>10</v>
      </c>
      <c r="N183">
        <v>10</v>
      </c>
      <c r="O183" s="5"/>
    </row>
  </sheetData>
  <sheetProtection password="DA91" sheet="1" objects="1" scenarios="1"/>
  <mergeCells count="16">
    <mergeCell ref="J3:J4"/>
    <mergeCell ref="M3:M4"/>
    <mergeCell ref="B2:B4"/>
    <mergeCell ref="C2:C4"/>
    <mergeCell ref="D2:D4"/>
    <mergeCell ref="E2:Q2"/>
    <mergeCell ref="A2:A4"/>
    <mergeCell ref="K3:L3"/>
    <mergeCell ref="N3:O3"/>
    <mergeCell ref="S2:S4"/>
    <mergeCell ref="R2:R4"/>
    <mergeCell ref="E3:G3"/>
    <mergeCell ref="H3:H4"/>
    <mergeCell ref="I3:I4"/>
    <mergeCell ref="P3:P4"/>
    <mergeCell ref="Q3:Q4"/>
  </mergeCells>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表紙</vt:lpstr>
      <vt:lpstr>演算S</vt:lpstr>
      <vt:lpstr>作物別目標</vt:lpstr>
      <vt:lpstr>補給施基</vt:lpstr>
      <vt:lpstr>旧施基</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農業研究センター</dc:creator>
  <cp:lastModifiedBy>SS19010432（研究企画室　伊勢）</cp:lastModifiedBy>
  <cp:lastPrinted>2012-01-23T10:00:15Z</cp:lastPrinted>
  <dcterms:created xsi:type="dcterms:W3CDTF">1997-01-08T22:48:59Z</dcterms:created>
  <dcterms:modified xsi:type="dcterms:W3CDTF">2020-12-24T04:44:49Z</dcterms:modified>
</cp:coreProperties>
</file>