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eisai_nas\share\02 相談支援担当\総合的相談窓口\02 総合的相談窓口(旧共フォルダ)\★被災者生活設計アドバイザー\HP「我が家の復興計画」\030702HP更新\"/>
    </mc:Choice>
  </mc:AlternateContent>
  <bookViews>
    <workbookView xWindow="0" yWindow="0" windowWidth="28800" windowHeight="12210" tabRatio="512"/>
  </bookViews>
  <sheets>
    <sheet name="シート１" sheetId="8" r:id="rId1"/>
    <sheet name="シート２" sheetId="1" r:id="rId2"/>
    <sheet name="シート４" sheetId="9" state="hidden" r:id="rId3"/>
    <sheet name="シート５" sheetId="17" state="hidden" r:id="rId4"/>
    <sheet name="シート６" sheetId="23" state="hidden" r:id="rId5"/>
    <sheet name="シート７" sheetId="11" state="hidden" r:id="rId6"/>
    <sheet name="グラフ" sheetId="4" r:id="rId7"/>
  </sheets>
  <definedNames>
    <definedName name="_xlnm.Print_Area" localSheetId="0">シート１!$A$2:$AD$51</definedName>
  </definedNames>
  <calcPr calcId="162913"/>
</workbook>
</file>

<file path=xl/calcChain.xml><?xml version="1.0" encoding="utf-8"?>
<calcChain xmlns="http://schemas.openxmlformats.org/spreadsheetml/2006/main">
  <c r="I26" i="8" l="1"/>
  <c r="I27" i="8"/>
  <c r="I28" i="8"/>
  <c r="I29" i="8"/>
  <c r="I30" i="8"/>
  <c r="I31" i="8"/>
  <c r="I32" i="8"/>
  <c r="I33" i="8"/>
  <c r="I34" i="8"/>
  <c r="I35" i="8"/>
  <c r="I36" i="8"/>
  <c r="I37" i="8"/>
  <c r="I38" i="8"/>
  <c r="I39" i="8"/>
  <c r="I40" i="8"/>
  <c r="I41" i="8"/>
  <c r="I42" i="8"/>
  <c r="I43" i="8"/>
  <c r="I44" i="8"/>
  <c r="I45" i="8"/>
  <c r="I46" i="8"/>
  <c r="I47" i="8"/>
  <c r="I48" i="8"/>
  <c r="I49" i="8"/>
  <c r="I50" i="8"/>
  <c r="X60" i="11"/>
  <c r="AH23" i="8"/>
  <c r="AH24" i="8"/>
  <c r="K26" i="8"/>
  <c r="K27" i="8"/>
  <c r="K28" i="8"/>
  <c r="K29" i="8"/>
  <c r="K30" i="8"/>
  <c r="K31" i="8"/>
  <c r="K32" i="8"/>
  <c r="K33" i="8"/>
  <c r="K34" i="8"/>
  <c r="K35" i="8"/>
  <c r="K36" i="8"/>
  <c r="K37" i="8"/>
  <c r="K38" i="8"/>
  <c r="K39" i="8"/>
  <c r="K40" i="8"/>
  <c r="K41" i="8"/>
  <c r="K42" i="8"/>
  <c r="K43" i="8"/>
  <c r="K44" i="8"/>
  <c r="K45" i="8"/>
  <c r="K46" i="8"/>
  <c r="K47" i="8"/>
  <c r="K48" i="8"/>
  <c r="K49" i="8"/>
  <c r="K50" i="8"/>
  <c r="J26" i="8"/>
  <c r="J27" i="8"/>
  <c r="J28" i="8"/>
  <c r="J29" i="8"/>
  <c r="J30" i="8"/>
  <c r="J31" i="8"/>
  <c r="J32" i="8"/>
  <c r="J33" i="8"/>
  <c r="J34" i="8"/>
  <c r="J35" i="8"/>
  <c r="J36" i="8"/>
  <c r="J37" i="8"/>
  <c r="J38" i="8"/>
  <c r="J39" i="8"/>
  <c r="J40" i="8"/>
  <c r="J41" i="8"/>
  <c r="J42" i="8"/>
  <c r="J43" i="8"/>
  <c r="J44" i="8"/>
  <c r="J45" i="8"/>
  <c r="J46" i="8"/>
  <c r="J47" i="8"/>
  <c r="J48" i="8"/>
  <c r="J49" i="8"/>
  <c r="J50" i="8"/>
  <c r="H26" i="8"/>
  <c r="H27" i="8"/>
  <c r="H28" i="8"/>
  <c r="H29" i="8"/>
  <c r="H30" i="8"/>
  <c r="H31" i="8"/>
  <c r="H32" i="8"/>
  <c r="H33" i="8"/>
  <c r="H34" i="8"/>
  <c r="H35" i="8"/>
  <c r="H36" i="8"/>
  <c r="H37" i="8"/>
  <c r="H38" i="8"/>
  <c r="H39" i="8"/>
  <c r="H40" i="8"/>
  <c r="H41" i="8"/>
  <c r="H42" i="8"/>
  <c r="H43" i="8"/>
  <c r="H44" i="8"/>
  <c r="H45" i="8"/>
  <c r="H46" i="8"/>
  <c r="H47" i="8"/>
  <c r="H48" i="8"/>
  <c r="H49" i="8"/>
  <c r="H50" i="8"/>
  <c r="K25" i="8"/>
  <c r="J25" i="8"/>
  <c r="I25" i="8"/>
  <c r="H25" i="8"/>
  <c r="M25" i="8"/>
  <c r="G26" i="8"/>
  <c r="G27" i="8"/>
  <c r="G28" i="8"/>
  <c r="G29" i="8"/>
  <c r="G30" i="8"/>
  <c r="G31" i="8"/>
  <c r="G32" i="8"/>
  <c r="G33" i="8"/>
  <c r="G34" i="8"/>
  <c r="G35" i="8"/>
  <c r="G36" i="8"/>
  <c r="G37" i="8"/>
  <c r="G38" i="8"/>
  <c r="G39" i="8"/>
  <c r="G40" i="8"/>
  <c r="G41" i="8"/>
  <c r="G42" i="8"/>
  <c r="G43" i="8"/>
  <c r="G44" i="8"/>
  <c r="G45" i="8"/>
  <c r="G46" i="8"/>
  <c r="G47" i="8"/>
  <c r="G48" i="8"/>
  <c r="G49" i="8"/>
  <c r="G50" i="8"/>
  <c r="G25" i="8"/>
  <c r="L25" i="8"/>
  <c r="F5" i="11"/>
  <c r="H31" i="11"/>
  <c r="I31" i="11"/>
  <c r="F4" i="11"/>
  <c r="F3" i="11"/>
  <c r="D37" i="11"/>
  <c r="S23" i="11"/>
  <c r="T60" i="11"/>
  <c r="W60" i="11"/>
  <c r="U60" i="11"/>
  <c r="V60" i="11"/>
  <c r="H1" i="23"/>
  <c r="E4" i="23"/>
  <c r="F197" i="23"/>
  <c r="G4" i="23"/>
  <c r="J10" i="23"/>
  <c r="E4" i="17"/>
  <c r="G4" i="17"/>
  <c r="C5" i="9"/>
  <c r="C9" i="9"/>
  <c r="C16" i="9"/>
  <c r="D16" i="9"/>
  <c r="G16" i="9"/>
  <c r="C20" i="9"/>
  <c r="C23" i="9"/>
  <c r="F23" i="9"/>
  <c r="F8" i="1"/>
  <c r="F9" i="1"/>
  <c r="F10" i="1"/>
  <c r="O26" i="8"/>
  <c r="F15" i="1"/>
  <c r="F16" i="1"/>
  <c r="F17" i="1"/>
  <c r="L17" i="1"/>
  <c r="F18" i="1"/>
  <c r="L18" i="1"/>
  <c r="F19" i="1"/>
  <c r="F20" i="1"/>
  <c r="F21" i="1"/>
  <c r="F22" i="1"/>
  <c r="F23" i="1"/>
  <c r="F24" i="1"/>
  <c r="Q26" i="8"/>
  <c r="Q27" i="8"/>
  <c r="Q28" i="8"/>
  <c r="Q29" i="8"/>
  <c r="Q30" i="8"/>
  <c r="Q31" i="8"/>
  <c r="Q32" i="8"/>
  <c r="Q33" i="8"/>
  <c r="Q34" i="8"/>
  <c r="Q35" i="8"/>
  <c r="Q36" i="8"/>
  <c r="Q37" i="8"/>
  <c r="Q38" i="8"/>
  <c r="Q39" i="8"/>
  <c r="Q40" i="8"/>
  <c r="Q41" i="8"/>
  <c r="Q42" i="8"/>
  <c r="Q43" i="8"/>
  <c r="Q44" i="8"/>
  <c r="Q45" i="8"/>
  <c r="Q46" i="8"/>
  <c r="Q47" i="8"/>
  <c r="Q48" i="8"/>
  <c r="Q49" i="8"/>
  <c r="Q50" i="8"/>
  <c r="F25" i="1"/>
  <c r="F26" i="1"/>
  <c r="I26" i="1"/>
  <c r="I27" i="1"/>
  <c r="I28" i="1"/>
  <c r="M26" i="1"/>
  <c r="N25" i="1"/>
  <c r="M27" i="1"/>
  <c r="M28" i="1"/>
  <c r="M29" i="1"/>
  <c r="F30" i="1"/>
  <c r="H30" i="1"/>
  <c r="J25" i="1"/>
  <c r="K25" i="1"/>
  <c r="M30" i="1"/>
  <c r="F31" i="1"/>
  <c r="F34" i="1"/>
  <c r="U26" i="8"/>
  <c r="U27" i="8"/>
  <c r="U28" i="8"/>
  <c r="U29" i="8"/>
  <c r="U30" i="8"/>
  <c r="U31" i="8"/>
  <c r="U32" i="8"/>
  <c r="U33" i="8"/>
  <c r="U34" i="8"/>
  <c r="U35" i="8"/>
  <c r="U36" i="8"/>
  <c r="U37" i="8"/>
  <c r="U38" i="8"/>
  <c r="U39" i="8"/>
  <c r="U40" i="8"/>
  <c r="U41" i="8"/>
  <c r="U42" i="8"/>
  <c r="U43" i="8"/>
  <c r="U44" i="8"/>
  <c r="U45" i="8"/>
  <c r="U46" i="8"/>
  <c r="U47" i="8"/>
  <c r="U48" i="8"/>
  <c r="U49" i="8"/>
  <c r="U50" i="8"/>
  <c r="M31" i="1"/>
  <c r="F32" i="1"/>
  <c r="M32" i="1"/>
  <c r="F33" i="1"/>
  <c r="M33" i="1"/>
  <c r="M34" i="1"/>
  <c r="F35" i="1"/>
  <c r="M35" i="1"/>
  <c r="F36" i="1"/>
  <c r="M36" i="1"/>
  <c r="F37" i="1"/>
  <c r="M37" i="1"/>
  <c r="F38" i="1"/>
  <c r="M38" i="1"/>
  <c r="M39" i="1"/>
  <c r="F40" i="1"/>
  <c r="M40" i="1"/>
  <c r="F41" i="1"/>
  <c r="F43" i="1"/>
  <c r="W26" i="8"/>
  <c r="M41" i="1"/>
  <c r="F42" i="1"/>
  <c r="M42" i="1"/>
  <c r="M43" i="1"/>
  <c r="M44" i="1"/>
  <c r="M45" i="1"/>
  <c r="M46" i="1"/>
  <c r="M47" i="1"/>
  <c r="M48" i="1"/>
  <c r="M49" i="1"/>
  <c r="B26" i="8"/>
  <c r="B27" i="8"/>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H4" i="17"/>
  <c r="E268" i="17"/>
  <c r="H4" i="23"/>
  <c r="E49" i="23"/>
  <c r="M26" i="8"/>
  <c r="M27" i="8"/>
  <c r="M28" i="8"/>
  <c r="M29" i="8"/>
  <c r="M30" i="8"/>
  <c r="M31" i="8"/>
  <c r="M32" i="8"/>
  <c r="M33" i="8"/>
  <c r="M34" i="8"/>
  <c r="M35" i="8"/>
  <c r="M36" i="8"/>
  <c r="M37" i="8"/>
  <c r="M38" i="8"/>
  <c r="M39" i="8"/>
  <c r="M40" i="8"/>
  <c r="M41" i="8"/>
  <c r="M42" i="8"/>
  <c r="M43" i="8"/>
  <c r="M44" i="8"/>
  <c r="M45" i="8"/>
  <c r="M46" i="8"/>
  <c r="M47" i="8"/>
  <c r="M48" i="8"/>
  <c r="M49" i="8"/>
  <c r="M50" i="8"/>
  <c r="S26" i="8"/>
  <c r="H61" i="11"/>
  <c r="E301" i="23"/>
  <c r="E132" i="23"/>
  <c r="E196" i="23"/>
  <c r="E153" i="23"/>
  <c r="E212" i="23"/>
  <c r="E308" i="23"/>
  <c r="E235" i="23"/>
  <c r="E228" i="23"/>
  <c r="E305" i="23"/>
  <c r="E247" i="23"/>
  <c r="E219" i="23"/>
  <c r="E304" i="23"/>
  <c r="E104" i="23"/>
  <c r="E181" i="23"/>
  <c r="E59" i="23"/>
  <c r="E108" i="23"/>
  <c r="E185" i="23"/>
  <c r="F257" i="23"/>
  <c r="E174" i="23"/>
  <c r="E48" i="23"/>
  <c r="F152" i="23"/>
  <c r="F206" i="23"/>
  <c r="E78" i="23"/>
  <c r="F47" i="23"/>
  <c r="E69" i="23"/>
  <c r="E150" i="23"/>
  <c r="E171" i="23"/>
  <c r="F275" i="23"/>
  <c r="E111" i="23"/>
  <c r="E146" i="23"/>
  <c r="E216" i="23"/>
  <c r="E193" i="23"/>
  <c r="E281" i="23"/>
  <c r="F18" i="23"/>
  <c r="E233" i="23"/>
  <c r="E267" i="23"/>
  <c r="E81" i="23"/>
  <c r="E83" i="23"/>
  <c r="E260" i="23"/>
  <c r="E238" i="23"/>
  <c r="E245" i="23"/>
  <c r="E279" i="23"/>
  <c r="E251" i="23"/>
  <c r="E102" i="23"/>
  <c r="E87" i="23"/>
  <c r="E136" i="23"/>
  <c r="F285" i="23"/>
  <c r="E91" i="23"/>
  <c r="E140" i="23"/>
  <c r="F244" i="23"/>
  <c r="E166" i="23"/>
  <c r="E80" i="23"/>
  <c r="F184" i="23"/>
  <c r="E157" i="23"/>
  <c r="F238" i="23"/>
  <c r="E110" i="23"/>
  <c r="E52" i="23"/>
  <c r="F156" i="23"/>
  <c r="E129" i="23"/>
  <c r="E36" i="23"/>
  <c r="F79" i="23"/>
  <c r="E56" i="23"/>
  <c r="E101" i="23"/>
  <c r="F205" i="23"/>
  <c r="E134" i="23"/>
  <c r="F51" i="23"/>
  <c r="F307" i="23"/>
  <c r="E73" i="23"/>
  <c r="F177" i="23"/>
  <c r="F154" i="23"/>
  <c r="E143" i="23"/>
  <c r="F247" i="23"/>
  <c r="F72" i="23"/>
  <c r="E45" i="23"/>
  <c r="F126" i="23"/>
  <c r="F31" i="23"/>
  <c r="E223" i="23"/>
  <c r="E244" i="23"/>
  <c r="E197" i="23"/>
  <c r="E289" i="23"/>
  <c r="E218" i="23"/>
  <c r="E114" i="23"/>
  <c r="E177" i="23"/>
  <c r="E28" i="23"/>
  <c r="E294" i="23"/>
  <c r="E164" i="23"/>
  <c r="E265" i="23"/>
  <c r="E299" i="23"/>
  <c r="E205" i="23"/>
  <c r="E207" i="23"/>
  <c r="E292" i="23"/>
  <c r="E198" i="23"/>
  <c r="E200" i="23"/>
  <c r="E277" i="23"/>
  <c r="E283" i="23"/>
  <c r="E189" i="23"/>
  <c r="E17" i="23"/>
  <c r="E119" i="23"/>
  <c r="F191" i="23"/>
  <c r="E168" i="23"/>
  <c r="F38" i="23"/>
  <c r="F294" i="23"/>
  <c r="E123" i="23"/>
  <c r="E172" i="23"/>
  <c r="F276" i="23"/>
  <c r="F298" i="23"/>
  <c r="F19" i="23"/>
  <c r="E112" i="23"/>
  <c r="F216" i="23"/>
  <c r="F36" i="23"/>
  <c r="E170" i="23"/>
  <c r="F107" i="23"/>
  <c r="E84" i="23"/>
  <c r="E161" i="23"/>
  <c r="F265" i="23"/>
  <c r="E138" i="23"/>
  <c r="F111" i="23"/>
  <c r="E88" i="23"/>
  <c r="E133" i="23"/>
  <c r="F237" i="23"/>
  <c r="F214" i="23"/>
  <c r="E106" i="23"/>
  <c r="E60" i="23"/>
  <c r="F132" i="23"/>
  <c r="E105" i="23"/>
  <c r="F186" i="23"/>
  <c r="E182" i="23"/>
  <c r="E175" i="23"/>
  <c r="F104" i="23"/>
  <c r="E77" i="23"/>
  <c r="E15" i="23"/>
  <c r="E262" i="23"/>
  <c r="E227" i="23"/>
  <c r="E248" i="23"/>
  <c r="E217" i="23"/>
  <c r="E293" i="23"/>
  <c r="E306" i="23"/>
  <c r="F155" i="23"/>
  <c r="F162" i="23"/>
  <c r="E35" i="23"/>
  <c r="E266" i="23"/>
  <c r="E220" i="23"/>
  <c r="E297" i="23"/>
  <c r="E237" i="23"/>
  <c r="E239" i="23"/>
  <c r="E42" i="23"/>
  <c r="E232" i="23"/>
  <c r="F57" i="23"/>
  <c r="E33" i="23"/>
  <c r="E221" i="23"/>
  <c r="F290" i="23"/>
  <c r="E151" i="23"/>
  <c r="F48" i="23"/>
  <c r="F304" i="23"/>
  <c r="E158" i="23"/>
  <c r="E155" i="23"/>
  <c r="F308" i="23"/>
  <c r="F97" i="23"/>
  <c r="E126" i="23"/>
  <c r="E63" i="23"/>
  <c r="F167" i="23"/>
  <c r="E144" i="23"/>
  <c r="F69" i="23"/>
  <c r="F46" i="23"/>
  <c r="E31" i="23"/>
  <c r="F139" i="23"/>
  <c r="E116" i="23"/>
  <c r="F41" i="23"/>
  <c r="F297" i="23"/>
  <c r="F274" i="23"/>
  <c r="E39" i="23"/>
  <c r="F143" i="23"/>
  <c r="E120" i="23"/>
  <c r="F192" i="23"/>
  <c r="E165" i="23"/>
  <c r="F269" i="23"/>
  <c r="F246" i="23"/>
  <c r="E162" i="23"/>
  <c r="E92" i="23"/>
  <c r="F164" i="23"/>
  <c r="E137" i="23"/>
  <c r="F218" i="23"/>
  <c r="E70" i="23"/>
  <c r="F55" i="23"/>
  <c r="F136" i="23"/>
  <c r="E109" i="23"/>
  <c r="F213" i="23"/>
  <c r="E302" i="23"/>
  <c r="E255" i="23"/>
  <c r="E268" i="23"/>
  <c r="E225" i="23"/>
  <c r="E286" i="23"/>
  <c r="E274" i="23"/>
  <c r="E100" i="23"/>
  <c r="E34" i="23"/>
  <c r="F14" i="23"/>
  <c r="F153" i="23"/>
  <c r="E54" i="23"/>
  <c r="E98" i="23"/>
  <c r="E252" i="23"/>
  <c r="E206" i="23"/>
  <c r="E192" i="23"/>
  <c r="E269" i="23"/>
  <c r="E271" i="23"/>
  <c r="E113" i="23"/>
  <c r="E115" i="23"/>
  <c r="E264" i="23"/>
  <c r="E230" i="23"/>
  <c r="E204" i="23"/>
  <c r="E68" i="23"/>
  <c r="E253" i="23"/>
  <c r="E22" i="23"/>
  <c r="E142" i="23"/>
  <c r="E183" i="23"/>
  <c r="F80" i="23"/>
  <c r="E53" i="23"/>
  <c r="F125" i="23"/>
  <c r="E82" i="23"/>
  <c r="E187" i="23"/>
  <c r="F259" i="23"/>
  <c r="E57" i="23"/>
  <c r="F129" i="23"/>
  <c r="F106" i="23"/>
  <c r="E50" i="23"/>
  <c r="E95" i="23"/>
  <c r="F199" i="23"/>
  <c r="E176" i="23"/>
  <c r="F101" i="23"/>
  <c r="F78" i="23"/>
  <c r="E94" i="23"/>
  <c r="E67" i="23"/>
  <c r="F171" i="23"/>
  <c r="E148" i="23"/>
  <c r="F252" i="23"/>
  <c r="F50" i="23"/>
  <c r="F306" i="23"/>
  <c r="E71" i="23"/>
  <c r="E152" i="23"/>
  <c r="F224" i="23"/>
  <c r="F45" i="23"/>
  <c r="F278" i="23"/>
  <c r="E43" i="23"/>
  <c r="F147" i="23"/>
  <c r="E124" i="23"/>
  <c r="F196" i="23"/>
  <c r="E169" i="23"/>
  <c r="F273" i="23"/>
  <c r="E74" i="23"/>
  <c r="F87" i="23"/>
  <c r="E64" i="23"/>
  <c r="E141" i="23"/>
  <c r="F245" i="23"/>
  <c r="F222" i="23"/>
  <c r="E226" i="23"/>
  <c r="E287" i="23"/>
  <c r="E280" i="23"/>
  <c r="E249" i="23"/>
  <c r="E222" i="23"/>
  <c r="E210" i="23"/>
  <c r="F32" i="23"/>
  <c r="F185" i="23"/>
  <c r="F16" i="23"/>
  <c r="F89" i="23"/>
  <c r="E231" i="23"/>
  <c r="E51" i="23"/>
  <c r="E256" i="23"/>
  <c r="E246" i="23"/>
  <c r="E241" i="23"/>
  <c r="E243" i="23"/>
  <c r="F172" i="23"/>
  <c r="E147" i="23"/>
  <c r="E258" i="23"/>
  <c r="E240" i="23"/>
  <c r="F20" i="23"/>
  <c r="F37" i="23"/>
  <c r="F63" i="23"/>
  <c r="E40" i="23"/>
  <c r="E117" i="23"/>
  <c r="F189" i="23"/>
  <c r="F166" i="23"/>
  <c r="E46" i="23"/>
  <c r="F67" i="23"/>
  <c r="E44" i="23"/>
  <c r="F148" i="23"/>
  <c r="E121" i="23"/>
  <c r="F193" i="23"/>
  <c r="F170" i="23"/>
  <c r="F25" i="23"/>
  <c r="E159" i="23"/>
  <c r="F263" i="23"/>
  <c r="F88" i="23"/>
  <c r="E61" i="23"/>
  <c r="F142" i="23"/>
  <c r="E18" i="23"/>
  <c r="E131" i="23"/>
  <c r="F60" i="23"/>
  <c r="E25" i="23"/>
  <c r="F137" i="23"/>
  <c r="F114" i="23"/>
  <c r="E154" i="23"/>
  <c r="E135" i="23"/>
  <c r="F239" i="23"/>
  <c r="E23" i="23"/>
  <c r="F288" i="23"/>
  <c r="F109" i="23"/>
  <c r="F86" i="23"/>
  <c r="E122" i="23"/>
  <c r="E107" i="23"/>
  <c r="F211" i="23"/>
  <c r="E188" i="23"/>
  <c r="F260" i="23"/>
  <c r="F81" i="23"/>
  <c r="F58" i="23"/>
  <c r="E90" i="23"/>
  <c r="E47" i="23"/>
  <c r="F151" i="23"/>
  <c r="E128" i="23"/>
  <c r="F232" i="23"/>
  <c r="F53" i="23"/>
  <c r="F17" i="23"/>
  <c r="F286" i="23"/>
  <c r="F133" i="23"/>
  <c r="E89" i="23"/>
  <c r="E208" i="23"/>
  <c r="E229" i="23"/>
  <c r="F282" i="23"/>
  <c r="F54" i="23"/>
  <c r="F105" i="23"/>
  <c r="E12" i="23"/>
  <c r="F116" i="23"/>
  <c r="F287" i="23"/>
  <c r="E236" i="23"/>
  <c r="E234" i="23"/>
  <c r="E276" i="23"/>
  <c r="E16" i="23"/>
  <c r="F254" i="23"/>
  <c r="F305" i="23"/>
  <c r="F77" i="23"/>
  <c r="F284" i="23"/>
  <c r="F56" i="23"/>
  <c r="F291" i="23"/>
  <c r="E20" i="23"/>
  <c r="E290" i="23"/>
  <c r="E284" i="23"/>
  <c r="E259" i="23"/>
  <c r="E130" i="23"/>
  <c r="F82" i="23"/>
  <c r="F112" i="23"/>
  <c r="E224" i="23"/>
  <c r="E26" i="23"/>
  <c r="F277" i="23"/>
  <c r="F49" i="23"/>
  <c r="F256" i="23"/>
  <c r="E180" i="23"/>
  <c r="F231" i="23"/>
  <c r="E32" i="23"/>
  <c r="E118" i="23"/>
  <c r="E296" i="23"/>
  <c r="E199" i="23"/>
  <c r="E298" i="23"/>
  <c r="E173" i="23"/>
  <c r="F228" i="23"/>
  <c r="E184" i="23"/>
  <c r="F203" i="23"/>
  <c r="E127" i="23"/>
  <c r="F13" i="23"/>
  <c r="E211" i="23"/>
  <c r="F66" i="23"/>
  <c r="F200" i="23"/>
  <c r="E156" i="23"/>
  <c r="F207" i="23"/>
  <c r="E99" i="23"/>
  <c r="F11" i="23"/>
  <c r="F134" i="23"/>
  <c r="F28" i="23"/>
  <c r="E209" i="23"/>
  <c r="F268" i="23"/>
  <c r="E96" i="23"/>
  <c r="F179" i="23"/>
  <c r="E103" i="23"/>
  <c r="E186" i="23"/>
  <c r="F138" i="23"/>
  <c r="F157" i="23"/>
  <c r="E303" i="23"/>
  <c r="E38" i="23"/>
  <c r="E242" i="23"/>
  <c r="F267" i="17"/>
  <c r="E200" i="17"/>
  <c r="F160" i="17"/>
  <c r="F296" i="17"/>
  <c r="E94" i="17"/>
  <c r="E206" i="17"/>
  <c r="F198" i="17"/>
  <c r="F274" i="17"/>
  <c r="E73" i="17"/>
  <c r="F177" i="17"/>
  <c r="E153" i="17"/>
  <c r="E221" i="17"/>
  <c r="E219" i="17"/>
  <c r="F301" i="17"/>
  <c r="F193" i="17"/>
  <c r="F127" i="17"/>
  <c r="F241" i="17"/>
  <c r="F245" i="17"/>
  <c r="F242" i="17"/>
  <c r="F234" i="17"/>
  <c r="F89" i="17"/>
  <c r="E292" i="17"/>
  <c r="F45" i="17"/>
  <c r="E185" i="17"/>
  <c r="E151" i="17"/>
  <c r="E253" i="17"/>
  <c r="F125" i="17"/>
  <c r="F123" i="17"/>
  <c r="F237" i="17"/>
  <c r="F297" i="17"/>
  <c r="F163" i="17"/>
  <c r="F38" i="17"/>
  <c r="F173" i="17"/>
  <c r="F33" i="17"/>
  <c r="E28" i="17"/>
  <c r="E294" i="17"/>
  <c r="E64" i="17"/>
  <c r="F62" i="17"/>
  <c r="E44" i="17"/>
  <c r="F143" i="17"/>
  <c r="F184" i="17"/>
  <c r="F100" i="17"/>
  <c r="F211" i="17"/>
  <c r="F252" i="17"/>
  <c r="F74" i="17"/>
  <c r="E116" i="17"/>
  <c r="E129" i="17"/>
  <c r="E246" i="17"/>
  <c r="E127" i="17"/>
  <c r="E216" i="17"/>
  <c r="E229" i="17"/>
  <c r="F174" i="17"/>
  <c r="E163" i="17"/>
  <c r="E252" i="17"/>
  <c r="E265" i="17"/>
  <c r="F258" i="17"/>
  <c r="E167" i="17"/>
  <c r="E256" i="17"/>
  <c r="E269" i="17"/>
  <c r="F226" i="17"/>
  <c r="E232" i="17"/>
  <c r="E67" i="17"/>
  <c r="F67" i="17"/>
  <c r="F304" i="17"/>
  <c r="F141" i="17"/>
  <c r="E262" i="17"/>
  <c r="E53" i="17"/>
  <c r="E60" i="17"/>
  <c r="F305" i="17"/>
  <c r="F48" i="17"/>
  <c r="E66" i="17"/>
  <c r="F231" i="17"/>
  <c r="E168" i="17"/>
  <c r="E65" i="17"/>
  <c r="F92" i="17"/>
  <c r="E147" i="17"/>
  <c r="E236" i="17"/>
  <c r="E249" i="17"/>
  <c r="F262" i="17"/>
  <c r="E215" i="17"/>
  <c r="E304" i="17"/>
  <c r="F285" i="17"/>
  <c r="F270" i="17"/>
  <c r="F287" i="17"/>
  <c r="F128" i="17"/>
  <c r="F189" i="17"/>
  <c r="F71" i="17"/>
  <c r="F187" i="17"/>
  <c r="F228" i="17"/>
  <c r="E122" i="17"/>
  <c r="F32" i="17"/>
  <c r="F223" i="17"/>
  <c r="F264" i="17"/>
  <c r="E158" i="17"/>
  <c r="E37" i="17"/>
  <c r="F227" i="17"/>
  <c r="F268" i="17"/>
  <c r="E162" i="17"/>
  <c r="F98" i="17"/>
  <c r="E198" i="17"/>
  <c r="F66" i="17"/>
  <c r="E17" i="17"/>
  <c r="E41" i="17"/>
  <c r="F35" i="17"/>
  <c r="E107" i="17"/>
  <c r="E238" i="17"/>
  <c r="E306" i="17"/>
  <c r="E276" i="17"/>
  <c r="F182" i="17"/>
  <c r="F46" i="17"/>
  <c r="F136" i="17"/>
  <c r="E57" i="17"/>
  <c r="F140" i="17"/>
  <c r="E271" i="17"/>
  <c r="E58" i="17"/>
  <c r="E22" i="17"/>
  <c r="E70" i="17"/>
  <c r="F59" i="17"/>
  <c r="F29" i="17"/>
  <c r="F250" i="17"/>
  <c r="E300" i="17"/>
  <c r="F278" i="17"/>
  <c r="F170" i="17"/>
  <c r="F70" i="17"/>
  <c r="F192" i="17"/>
  <c r="E85" i="17"/>
  <c r="F292" i="17"/>
  <c r="F26" i="17"/>
  <c r="E102" i="17"/>
  <c r="E34" i="17"/>
  <c r="E109" i="17"/>
  <c r="E42" i="17"/>
  <c r="F194" i="17"/>
  <c r="E196" i="17"/>
  <c r="E273" i="17"/>
  <c r="E9" i="17"/>
  <c r="G9" i="17"/>
  <c r="F190" i="17"/>
  <c r="F166" i="17"/>
  <c r="F91" i="17"/>
  <c r="F156" i="17"/>
  <c r="F104" i="17"/>
  <c r="F256" i="17"/>
  <c r="E82" i="17"/>
  <c r="E133" i="17"/>
  <c r="E48" i="17"/>
  <c r="E169" i="17"/>
  <c r="E56" i="17"/>
  <c r="E173" i="17"/>
  <c r="F19" i="17"/>
  <c r="E18" i="17"/>
  <c r="F13" i="17"/>
  <c r="E33" i="17"/>
  <c r="E202" i="17"/>
  <c r="E32" i="17"/>
  <c r="E46" i="17"/>
  <c r="E121" i="17"/>
  <c r="E91" i="17"/>
  <c r="E189" i="17"/>
  <c r="E187" i="17"/>
  <c r="E289" i="17"/>
  <c r="E287" i="17"/>
  <c r="F161" i="17"/>
  <c r="F303" i="17"/>
  <c r="F197" i="17"/>
  <c r="E55" i="17"/>
  <c r="F201" i="17"/>
  <c r="E71" i="17"/>
  <c r="F53" i="17"/>
  <c r="E16" i="17"/>
  <c r="F113" i="17"/>
  <c r="E305" i="17"/>
  <c r="F52" i="17"/>
  <c r="E138" i="17"/>
  <c r="E211" i="17"/>
  <c r="F269" i="17"/>
  <c r="E279" i="17"/>
  <c r="F153" i="17"/>
  <c r="F151" i="17"/>
  <c r="F273" i="17"/>
  <c r="F255" i="17"/>
  <c r="E186" i="17"/>
  <c r="F299" i="17"/>
  <c r="E222" i="17"/>
  <c r="F88" i="17"/>
  <c r="E203" i="17"/>
  <c r="E264" i="17"/>
  <c r="E174" i="17"/>
  <c r="F215" i="17"/>
  <c r="F34" i="17"/>
  <c r="F286" i="17"/>
  <c r="E117" i="17"/>
  <c r="F133" i="17"/>
  <c r="E59" i="17"/>
  <c r="F208" i="17"/>
  <c r="F213" i="17"/>
  <c r="F203" i="17"/>
  <c r="E54" i="17"/>
  <c r="E212" i="17"/>
  <c r="E250" i="17"/>
  <c r="E263" i="17"/>
  <c r="E120" i="17"/>
  <c r="E235" i="17"/>
  <c r="F271" i="17"/>
  <c r="E207" i="17"/>
  <c r="E296" i="17"/>
  <c r="E25" i="17"/>
  <c r="F115" i="17"/>
  <c r="E225" i="17"/>
  <c r="F294" i="17"/>
  <c r="F307" i="17"/>
  <c r="E29" i="17"/>
  <c r="F75" i="17"/>
  <c r="E239" i="17"/>
  <c r="F61" i="17"/>
  <c r="E52" i="17"/>
  <c r="E112" i="17"/>
  <c r="E150" i="17"/>
  <c r="E259" i="17"/>
  <c r="E160" i="17"/>
  <c r="E69" i="17"/>
  <c r="F25" i="17"/>
  <c r="E275" i="17"/>
  <c r="E125" i="17"/>
  <c r="F162" i="17"/>
  <c r="E156" i="17"/>
  <c r="F142" i="17"/>
  <c r="F112" i="17"/>
  <c r="F280" i="17"/>
  <c r="E226" i="17"/>
  <c r="E113" i="17"/>
  <c r="F239" i="17"/>
  <c r="F229" i="17"/>
  <c r="E223" i="17"/>
  <c r="F134" i="17"/>
  <c r="F137" i="17"/>
  <c r="E299" i="17"/>
  <c r="E242" i="17"/>
  <c r="E286" i="17"/>
  <c r="E76" i="17"/>
  <c r="AD31" i="8"/>
  <c r="AH31" i="8" s="1"/>
  <c r="AJ31" i="8" s="1"/>
  <c r="X31" i="8" s="1"/>
  <c r="Y31" i="8" s="1"/>
  <c r="AD30" i="8"/>
  <c r="AH30" i="8" s="1"/>
  <c r="AJ30" i="8" s="1"/>
  <c r="X30" i="8" s="1"/>
  <c r="Y30" i="8" s="1"/>
  <c r="AD28" i="8"/>
  <c r="AH28" i="8" s="1"/>
  <c r="AJ28" i="8" s="1"/>
  <c r="X28" i="8" s="1"/>
  <c r="Y28" i="8" s="1"/>
  <c r="AD29" i="8"/>
  <c r="AH29" i="8" s="1"/>
  <c r="AJ29" i="8" s="1"/>
  <c r="X29" i="8" s="1"/>
  <c r="Y29" i="8" s="1"/>
  <c r="AD27" i="8"/>
  <c r="AH27" i="8" s="1"/>
  <c r="AJ27" i="8" s="1"/>
  <c r="X27" i="8" s="1"/>
  <c r="Y27" i="8" s="1"/>
  <c r="AD32" i="8"/>
  <c r="AH32" i="8" s="1"/>
  <c r="AJ32" i="8" s="1"/>
  <c r="X32" i="8" s="1"/>
  <c r="Y32" i="8" s="1"/>
  <c r="AD26" i="8"/>
  <c r="AH26" i="8" s="1"/>
  <c r="AJ26" i="8" s="1"/>
  <c r="X26" i="8" s="1"/>
  <c r="Y26" i="8" s="1"/>
  <c r="V57" i="11"/>
  <c r="F110" i="23"/>
  <c r="F161" i="23"/>
  <c r="K26" i="1"/>
  <c r="N26" i="1"/>
  <c r="S27" i="8"/>
  <c r="R27" i="8"/>
  <c r="K27" i="1"/>
  <c r="N27" i="1"/>
  <c r="S28" i="8"/>
  <c r="R28" i="8"/>
  <c r="AE3" i="11"/>
  <c r="H11" i="11"/>
  <c r="I11" i="11"/>
  <c r="H38" i="11"/>
  <c r="I38" i="11"/>
  <c r="AE8" i="11"/>
  <c r="AE12" i="11"/>
  <c r="AD44" i="11"/>
  <c r="H42" i="11"/>
  <c r="H15" i="11"/>
  <c r="H19" i="11"/>
  <c r="V45" i="11"/>
  <c r="AE15" i="11"/>
  <c r="AF15" i="11"/>
  <c r="AE20" i="11"/>
  <c r="AF20" i="11"/>
  <c r="H47" i="11"/>
  <c r="I47" i="11"/>
  <c r="H49" i="11"/>
  <c r="I49" i="11"/>
  <c r="H27" i="11"/>
  <c r="AE25" i="11"/>
  <c r="AE26" i="11"/>
  <c r="AE27" i="11"/>
  <c r="AF27" i="11"/>
  <c r="H30" i="11"/>
  <c r="I30" i="11"/>
  <c r="H54" i="11"/>
  <c r="I54" i="11"/>
  <c r="H55" i="11"/>
  <c r="H56" i="11"/>
  <c r="I56" i="11"/>
  <c r="P54" i="11"/>
  <c r="H57" i="11"/>
  <c r="H59" i="11"/>
  <c r="I59" i="11"/>
  <c r="H64" i="11"/>
  <c r="I64" i="11"/>
  <c r="AE4" i="11"/>
  <c r="AF4" i="11"/>
  <c r="H12" i="11"/>
  <c r="AE5" i="11"/>
  <c r="AE9" i="11"/>
  <c r="AF9" i="11"/>
  <c r="H43" i="11"/>
  <c r="H16" i="11"/>
  <c r="H20" i="11"/>
  <c r="I20" i="11"/>
  <c r="AE16" i="11"/>
  <c r="AF16" i="11"/>
  <c r="AD48" i="11"/>
  <c r="H22" i="11"/>
  <c r="H23" i="11"/>
  <c r="H24" i="11"/>
  <c r="I24" i="11"/>
  <c r="H29" i="11"/>
  <c r="AE28" i="11"/>
  <c r="AF28" i="11"/>
  <c r="H32" i="11"/>
  <c r="I32" i="11"/>
  <c r="H62" i="11"/>
  <c r="H65" i="11"/>
  <c r="I65" i="11"/>
  <c r="H9" i="11"/>
  <c r="I9" i="11"/>
  <c r="V35" i="11"/>
  <c r="H39" i="11"/>
  <c r="I39" i="11"/>
  <c r="P37" i="11"/>
  <c r="AE6" i="11"/>
  <c r="AF6" i="11"/>
  <c r="AE10" i="11"/>
  <c r="H41" i="11"/>
  <c r="H13" i="11"/>
  <c r="I13" i="11"/>
  <c r="V39" i="11"/>
  <c r="H17" i="11"/>
  <c r="AE13" i="11"/>
  <c r="AE17" i="11"/>
  <c r="H21" i="11"/>
  <c r="I21" i="11"/>
  <c r="H46" i="11"/>
  <c r="I46" i="11"/>
  <c r="AE22" i="11"/>
  <c r="AF22" i="11"/>
  <c r="AD54" i="11"/>
  <c r="H48" i="11"/>
  <c r="I48" i="11"/>
  <c r="P46" i="11"/>
  <c r="H26" i="11"/>
  <c r="H50" i="11"/>
  <c r="I50" i="11"/>
  <c r="P48" i="11"/>
  <c r="H51" i="11"/>
  <c r="I51" i="11"/>
  <c r="H53" i="11"/>
  <c r="I53" i="11"/>
  <c r="P51" i="11"/>
  <c r="AE29" i="11"/>
  <c r="AE30" i="11"/>
  <c r="AF30" i="11"/>
  <c r="H60" i="11"/>
  <c r="H63" i="11"/>
  <c r="I63" i="11"/>
  <c r="F12" i="23"/>
  <c r="F267" i="23"/>
  <c r="F183" i="23"/>
  <c r="E10" i="23"/>
  <c r="F127" i="23"/>
  <c r="F253" i="23"/>
  <c r="F146" i="23"/>
  <c r="F292" i="23"/>
  <c r="F85" i="23"/>
  <c r="F226" i="23"/>
  <c r="E30" i="23"/>
  <c r="F230" i="23"/>
  <c r="F212" i="23"/>
  <c r="F43" i="23"/>
  <c r="F201" i="23"/>
  <c r="F303" i="23"/>
  <c r="F150" i="23"/>
  <c r="F68" i="23"/>
  <c r="E7" i="23"/>
  <c r="F296" i="23"/>
  <c r="E9" i="23"/>
  <c r="F187" i="23"/>
  <c r="F240" i="23"/>
  <c r="E27" i="23"/>
  <c r="F103" i="23"/>
  <c r="F119" i="23"/>
  <c r="E11" i="23"/>
  <c r="F258" i="23"/>
  <c r="F39" i="23"/>
  <c r="F64" i="23"/>
  <c r="F113" i="23"/>
  <c r="F62" i="23"/>
  <c r="E24" i="23"/>
  <c r="F281" i="23"/>
  <c r="F208" i="23"/>
  <c r="F71" i="23"/>
  <c r="F229" i="23"/>
  <c r="F299" i="23"/>
  <c r="F178" i="23"/>
  <c r="F96" i="23"/>
  <c r="F117" i="23"/>
  <c r="E14" i="23"/>
  <c r="F121" i="23"/>
  <c r="F15" i="23"/>
  <c r="F163" i="23"/>
  <c r="F289" i="23"/>
  <c r="F98" i="23"/>
  <c r="F176" i="23"/>
  <c r="AE31" i="11"/>
  <c r="AF31" i="11"/>
  <c r="AE24" i="11"/>
  <c r="AF24" i="11"/>
  <c r="H45" i="11"/>
  <c r="I45" i="11"/>
  <c r="AE18" i="11"/>
  <c r="H18" i="11"/>
  <c r="I18" i="11"/>
  <c r="AE7" i="11"/>
  <c r="AF7" i="11"/>
  <c r="AD39" i="11"/>
  <c r="H33" i="11"/>
  <c r="H52" i="11"/>
  <c r="AE23" i="11"/>
  <c r="AF23" i="11"/>
  <c r="AE19" i="11"/>
  <c r="AE14" i="11"/>
  <c r="AF14" i="11"/>
  <c r="H14" i="11"/>
  <c r="I14" i="11"/>
  <c r="H40" i="11"/>
  <c r="E139" i="17"/>
  <c r="D9" i="11"/>
  <c r="D10" i="11"/>
  <c r="E285" i="23"/>
  <c r="E62" i="23"/>
  <c r="E300" i="23"/>
  <c r="F249" i="23"/>
  <c r="F22" i="23"/>
  <c r="E203" i="23"/>
  <c r="E273" i="23"/>
  <c r="E179" i="23"/>
  <c r="E66" i="23"/>
  <c r="E149" i="23"/>
  <c r="F99" i="23"/>
  <c r="F225" i="23"/>
  <c r="F295" i="23"/>
  <c r="F174" i="23"/>
  <c r="F92" i="23"/>
  <c r="E37" i="23"/>
  <c r="F35" i="23"/>
  <c r="E254" i="23"/>
  <c r="F29" i="23"/>
  <c r="E257" i="23"/>
  <c r="F27" i="23"/>
  <c r="F44" i="23"/>
  <c r="E288" i="23"/>
  <c r="E275" i="23"/>
  <c r="E272" i="23"/>
  <c r="F95" i="23"/>
  <c r="F221" i="23"/>
  <c r="E76" i="23"/>
  <c r="F202" i="23"/>
  <c r="F120" i="23"/>
  <c r="E86" i="23"/>
  <c r="E65" i="23"/>
  <c r="E167" i="23"/>
  <c r="F141" i="23"/>
  <c r="F243" i="23"/>
  <c r="F90" i="23"/>
  <c r="E160" i="23"/>
  <c r="E58" i="23"/>
  <c r="E261" i="23"/>
  <c r="F194" i="23"/>
  <c r="E214" i="23"/>
  <c r="F108" i="23"/>
  <c r="E85" i="23"/>
  <c r="E75" i="23"/>
  <c r="E194" i="23"/>
  <c r="E190" i="23"/>
  <c r="F300" i="23"/>
  <c r="E263" i="23"/>
  <c r="E278" i="23"/>
  <c r="E145" i="23"/>
  <c r="F26" i="23"/>
  <c r="E72" i="23"/>
  <c r="F198" i="23"/>
  <c r="F180" i="23"/>
  <c r="F9" i="23"/>
  <c r="E93" i="23"/>
  <c r="E163" i="23"/>
  <c r="F169" i="23"/>
  <c r="F271" i="23"/>
  <c r="F118" i="23"/>
  <c r="F34" i="23"/>
  <c r="E178" i="23"/>
  <c r="F264" i="23"/>
  <c r="E191" i="23"/>
  <c r="E282" i="23"/>
  <c r="F123" i="23"/>
  <c r="E295" i="23"/>
  <c r="E202" i="23"/>
  <c r="E213" i="23"/>
  <c r="AD38" i="11"/>
  <c r="I26" i="11"/>
  <c r="I27" i="11"/>
  <c r="V53" i="11"/>
  <c r="D74" i="23"/>
  <c r="D272" i="23"/>
  <c r="D224" i="23"/>
  <c r="D273" i="23"/>
  <c r="D136" i="23"/>
  <c r="D118" i="23"/>
  <c r="D110" i="23"/>
  <c r="D220" i="23"/>
  <c r="D178" i="23"/>
  <c r="D197" i="23"/>
  <c r="D122" i="23"/>
  <c r="D184" i="23"/>
  <c r="D261" i="23"/>
  <c r="D223" i="23"/>
  <c r="D141" i="23"/>
  <c r="D119" i="23"/>
  <c r="D244" i="23"/>
  <c r="D142" i="23"/>
  <c r="D193" i="23"/>
  <c r="D75" i="23"/>
  <c r="D250" i="23"/>
  <c r="D42" i="23"/>
  <c r="D67" i="23"/>
  <c r="D114" i="23"/>
  <c r="D279" i="23"/>
  <c r="D306" i="23"/>
  <c r="D242" i="23"/>
  <c r="D131" i="23"/>
  <c r="D124" i="23"/>
  <c r="D128" i="23"/>
  <c r="D108" i="23"/>
  <c r="D160" i="23"/>
  <c r="D12" i="23"/>
  <c r="D25" i="23"/>
  <c r="D79" i="23"/>
  <c r="D180" i="23"/>
  <c r="D249" i="23"/>
  <c r="D106" i="23"/>
  <c r="D162" i="23"/>
  <c r="D208" i="23"/>
  <c r="D171" i="23"/>
  <c r="D100" i="23"/>
  <c r="D137" i="23"/>
  <c r="D205" i="23"/>
  <c r="D168" i="23"/>
  <c r="D256" i="23"/>
  <c r="I43" i="11"/>
  <c r="P41" i="11"/>
  <c r="I19" i="11"/>
  <c r="AF13" i="11"/>
  <c r="AD45" i="11"/>
  <c r="AF10" i="11"/>
  <c r="AD42" i="11"/>
  <c r="D9" i="17"/>
  <c r="I40" i="11"/>
  <c r="AF19" i="11"/>
  <c r="P36" i="11"/>
  <c r="P45" i="11"/>
  <c r="AF12" i="11"/>
  <c r="AF5" i="11"/>
  <c r="AD37" i="11"/>
  <c r="AF17" i="11"/>
  <c r="I62" i="11"/>
  <c r="P60" i="11"/>
  <c r="I17" i="11"/>
  <c r="V43" i="11"/>
  <c r="I55" i="11"/>
  <c r="P53" i="11"/>
  <c r="D57" i="23"/>
  <c r="D290" i="23"/>
  <c r="D291" i="23"/>
  <c r="D169" i="23"/>
  <c r="D71" i="23"/>
  <c r="D33" i="23"/>
  <c r="D230" i="23"/>
  <c r="D232" i="23"/>
  <c r="D252" i="23"/>
  <c r="H7" i="23"/>
  <c r="D117" i="23"/>
  <c r="D218" i="23"/>
  <c r="D26" i="23"/>
  <c r="D211" i="23"/>
  <c r="AF29" i="11"/>
  <c r="AD61" i="11"/>
  <c r="I29" i="11"/>
  <c r="V55" i="11"/>
  <c r="R26" i="8"/>
  <c r="L26" i="8"/>
  <c r="F11" i="1"/>
  <c r="AD46" i="11"/>
  <c r="I23" i="11"/>
  <c r="I29" i="1"/>
  <c r="K28" i="1"/>
  <c r="N28" i="1"/>
  <c r="S29" i="8"/>
  <c r="R29" i="8"/>
  <c r="E291" i="23"/>
  <c r="E215" i="23"/>
  <c r="E139" i="23"/>
  <c r="E201" i="23"/>
  <c r="E307" i="23"/>
  <c r="E55" i="23"/>
  <c r="F131" i="23"/>
  <c r="F234" i="23"/>
  <c r="E125" i="23"/>
  <c r="E97" i="23"/>
  <c r="F173" i="23"/>
  <c r="E41" i="23"/>
  <c r="F215" i="23"/>
  <c r="E195" i="23"/>
  <c r="E250" i="23"/>
  <c r="E270" i="23"/>
  <c r="F39" i="1"/>
  <c r="I30" i="1"/>
  <c r="K29" i="1"/>
  <c r="N29" i="1"/>
  <c r="S30" i="8"/>
  <c r="V26" i="8"/>
  <c r="V27" i="8"/>
  <c r="V28" i="8"/>
  <c r="V29" i="8"/>
  <c r="V30" i="8"/>
  <c r="V31" i="8"/>
  <c r="V32" i="8"/>
  <c r="V33" i="8"/>
  <c r="V34" i="8"/>
  <c r="V35" i="8"/>
  <c r="V36" i="8"/>
  <c r="V37" i="8"/>
  <c r="V38" i="8"/>
  <c r="V39" i="8"/>
  <c r="V40" i="8"/>
  <c r="V41" i="8"/>
  <c r="V42" i="8"/>
  <c r="V43" i="8"/>
  <c r="V44" i="8"/>
  <c r="V45" i="8"/>
  <c r="V46" i="8"/>
  <c r="V47" i="8"/>
  <c r="V48" i="8"/>
  <c r="V49" i="8"/>
  <c r="V50" i="8"/>
  <c r="F44" i="1"/>
  <c r="L27" i="8"/>
  <c r="R30" i="8"/>
  <c r="I31" i="1"/>
  <c r="K30" i="1"/>
  <c r="N30" i="1"/>
  <c r="S31" i="8"/>
  <c r="R31" i="8"/>
  <c r="I32" i="1"/>
  <c r="K31" i="1"/>
  <c r="N31" i="1"/>
  <c r="S32" i="8"/>
  <c r="R32" i="8"/>
  <c r="I33" i="1"/>
  <c r="K32" i="1"/>
  <c r="N32" i="1"/>
  <c r="S33" i="8"/>
  <c r="R33" i="8"/>
  <c r="I34" i="1"/>
  <c r="K33" i="1"/>
  <c r="N33" i="1"/>
  <c r="S34" i="8"/>
  <c r="R34" i="8"/>
  <c r="I35" i="1"/>
  <c r="K34" i="1"/>
  <c r="N34" i="1"/>
  <c r="S35" i="8"/>
  <c r="R35" i="8"/>
  <c r="I36" i="1"/>
  <c r="K35" i="1"/>
  <c r="N35" i="1"/>
  <c r="S36" i="8"/>
  <c r="R36" i="8"/>
  <c r="K36" i="1"/>
  <c r="N36" i="1"/>
  <c r="S37" i="8"/>
  <c r="I37" i="1"/>
  <c r="I38" i="1"/>
  <c r="K37" i="1"/>
  <c r="N37" i="1"/>
  <c r="S38" i="8"/>
  <c r="R37" i="8"/>
  <c r="R38" i="8"/>
  <c r="K38" i="1"/>
  <c r="N38" i="1"/>
  <c r="S39" i="8"/>
  <c r="R39" i="8"/>
  <c r="I39" i="1"/>
  <c r="K39" i="1"/>
  <c r="N39" i="1"/>
  <c r="S40" i="8"/>
  <c r="R40" i="8"/>
  <c r="I40" i="1"/>
  <c r="K40" i="1"/>
  <c r="N40" i="1"/>
  <c r="S41" i="8"/>
  <c r="I41" i="1"/>
  <c r="I42" i="1"/>
  <c r="K41" i="1"/>
  <c r="N41" i="1"/>
  <c r="S42" i="8"/>
  <c r="R41" i="8"/>
  <c r="I43" i="1"/>
  <c r="K42" i="1"/>
  <c r="N42" i="1"/>
  <c r="S43" i="8"/>
  <c r="R43" i="8"/>
  <c r="R42" i="8"/>
  <c r="I44" i="1"/>
  <c r="K43" i="1"/>
  <c r="N43" i="1"/>
  <c r="S44" i="8"/>
  <c r="R44" i="8"/>
  <c r="I45" i="1"/>
  <c r="K44" i="1"/>
  <c r="N44" i="1"/>
  <c r="S45" i="8"/>
  <c r="R45" i="8"/>
  <c r="I46" i="1"/>
  <c r="K45" i="1"/>
  <c r="N45" i="1"/>
  <c r="S46" i="8"/>
  <c r="R46" i="8"/>
  <c r="K46" i="1"/>
  <c r="N46" i="1"/>
  <c r="S47" i="8"/>
  <c r="R47" i="8"/>
  <c r="I47" i="1"/>
  <c r="K47" i="1"/>
  <c r="N47" i="1"/>
  <c r="S48" i="8"/>
  <c r="R48" i="8"/>
  <c r="I48" i="1"/>
  <c r="I49" i="1"/>
  <c r="K49" i="1"/>
  <c r="N49" i="1"/>
  <c r="S50" i="8"/>
  <c r="R50" i="8"/>
  <c r="K48" i="1"/>
  <c r="N48" i="1"/>
  <c r="S49" i="8"/>
  <c r="R49" i="8"/>
  <c r="AA3" i="11"/>
  <c r="AB3" i="11"/>
  <c r="AB35" i="11"/>
  <c r="V56" i="11"/>
  <c r="V44" i="11"/>
  <c r="AF25" i="11"/>
  <c r="AD57" i="11"/>
  <c r="V40" i="11"/>
  <c r="V50" i="11"/>
  <c r="AD56" i="11"/>
  <c r="E9" i="11"/>
  <c r="T35" i="11"/>
  <c r="P43" i="11"/>
  <c r="V58" i="11"/>
  <c r="AD47" i="11"/>
  <c r="E146" i="17"/>
  <c r="F257" i="17"/>
  <c r="E149" i="17"/>
  <c r="E40" i="17"/>
  <c r="F9" i="17"/>
  <c r="F159" i="17"/>
  <c r="E251" i="17"/>
  <c r="E87" i="17"/>
  <c r="F54" i="17"/>
  <c r="F131" i="17"/>
  <c r="F295" i="17"/>
  <c r="E119" i="17"/>
  <c r="E79" i="17"/>
  <c r="F148" i="17"/>
  <c r="AA4" i="11"/>
  <c r="AA5" i="11"/>
  <c r="V46" i="11"/>
  <c r="F209" i="17"/>
  <c r="F149" i="17"/>
  <c r="E30" i="17"/>
  <c r="F58" i="17"/>
  <c r="E15" i="17"/>
  <c r="F17" i="17"/>
  <c r="F235" i="17"/>
  <c r="F205" i="17"/>
  <c r="E63" i="17"/>
  <c r="F96" i="17"/>
  <c r="F248" i="17"/>
  <c r="F97" i="17"/>
  <c r="F293" i="17"/>
  <c r="E95" i="17"/>
  <c r="E193" i="17"/>
  <c r="E191" i="17"/>
  <c r="E293" i="17"/>
  <c r="E227" i="17"/>
  <c r="E89" i="17"/>
  <c r="E231" i="17"/>
  <c r="F102" i="17"/>
  <c r="E241" i="17"/>
  <c r="F249" i="17"/>
  <c r="E267" i="17"/>
  <c r="F176" i="17"/>
  <c r="F139" i="17"/>
  <c r="F31" i="17"/>
  <c r="E68" i="17"/>
  <c r="F222" i="17"/>
  <c r="F42" i="17"/>
  <c r="F302" i="17"/>
  <c r="F124" i="17"/>
  <c r="E108" i="17"/>
  <c r="F224" i="17"/>
  <c r="F105" i="17"/>
  <c r="F86" i="17"/>
  <c r="E86" i="17"/>
  <c r="E137" i="17"/>
  <c r="E90" i="17"/>
  <c r="E141" i="17"/>
  <c r="E143" i="17"/>
  <c r="E260" i="17"/>
  <c r="E27" i="17"/>
  <c r="F145" i="17"/>
  <c r="F56" i="17"/>
  <c r="E228" i="17"/>
  <c r="F109" i="17"/>
  <c r="F22" i="17"/>
  <c r="F21" i="17"/>
  <c r="E97" i="17"/>
  <c r="E11" i="17"/>
  <c r="E179" i="17"/>
  <c r="E281" i="17"/>
  <c r="E247" i="17"/>
  <c r="F121" i="17"/>
  <c r="F119" i="17"/>
  <c r="F233" i="17"/>
  <c r="F219" i="17"/>
  <c r="E154" i="17"/>
  <c r="F259" i="17"/>
  <c r="E190" i="17"/>
  <c r="F263" i="17"/>
  <c r="E194" i="17"/>
  <c r="E74" i="17"/>
  <c r="F14" i="17"/>
  <c r="F68" i="17"/>
  <c r="E72" i="17"/>
  <c r="E45" i="17"/>
  <c r="E177" i="17"/>
  <c r="E77" i="17"/>
  <c r="F93" i="17"/>
  <c r="F217" i="17"/>
  <c r="E35" i="17"/>
  <c r="E157" i="17"/>
  <c r="E155" i="17"/>
  <c r="E257" i="17"/>
  <c r="E255" i="17"/>
  <c r="F129" i="17"/>
  <c r="E291" i="17"/>
  <c r="F165" i="17"/>
  <c r="E295" i="17"/>
  <c r="F169" i="17"/>
  <c r="E21" i="17"/>
  <c r="F44" i="17"/>
  <c r="E24" i="17"/>
  <c r="F57" i="17"/>
  <c r="F106" i="17"/>
  <c r="F41" i="17"/>
  <c r="E303" i="17"/>
  <c r="E140" i="17"/>
  <c r="E123" i="17"/>
  <c r="E290" i="17"/>
  <c r="F289" i="17"/>
  <c r="F11" i="17"/>
  <c r="E106" i="17"/>
  <c r="F138" i="17"/>
  <c r="E170" i="17"/>
  <c r="F16" i="17"/>
  <c r="F20" i="17"/>
  <c r="F207" i="17"/>
  <c r="E142" i="17"/>
  <c r="F279" i="17"/>
  <c r="E210" i="17"/>
  <c r="E180" i="17"/>
  <c r="E93" i="17"/>
  <c r="E280" i="17"/>
  <c r="F282" i="17"/>
  <c r="F261" i="17"/>
  <c r="F218" i="17"/>
  <c r="F277" i="17"/>
  <c r="E103" i="17"/>
  <c r="E12" i="17"/>
  <c r="F85" i="17"/>
  <c r="E132" i="17"/>
  <c r="E7" i="17"/>
  <c r="E61" i="17"/>
  <c r="F76" i="17"/>
  <c r="E266" i="17"/>
  <c r="E243" i="17"/>
  <c r="F117" i="17"/>
  <c r="F251" i="17"/>
  <c r="F185" i="17"/>
  <c r="F183" i="17"/>
  <c r="E118" i="17"/>
  <c r="F291" i="17"/>
  <c r="E218" i="17"/>
  <c r="E124" i="17"/>
  <c r="E254" i="17"/>
  <c r="E128" i="17"/>
  <c r="E258" i="17"/>
  <c r="F65" i="17"/>
  <c r="E10" i="17"/>
  <c r="G10" i="17"/>
  <c r="E92" i="17"/>
  <c r="E213" i="17"/>
  <c r="F144" i="17"/>
  <c r="F64" i="17"/>
  <c r="F214" i="17"/>
  <c r="F40" i="17"/>
  <c r="E78" i="17"/>
  <c r="F186" i="17"/>
  <c r="F24" i="17"/>
  <c r="F81" i="17"/>
  <c r="F51" i="17"/>
  <c r="E75" i="17"/>
  <c r="E144" i="17"/>
  <c r="F126" i="17"/>
  <c r="F108" i="17"/>
  <c r="F55" i="17"/>
  <c r="F77" i="17"/>
  <c r="F28" i="17"/>
  <c r="F181" i="17"/>
  <c r="F147" i="17"/>
  <c r="F265" i="17"/>
  <c r="F247" i="17"/>
  <c r="E182" i="17"/>
  <c r="E152" i="17"/>
  <c r="E282" i="17"/>
  <c r="E188" i="17"/>
  <c r="F114" i="17"/>
  <c r="E192" i="17"/>
  <c r="F122" i="17"/>
  <c r="F30" i="17"/>
  <c r="E51" i="17"/>
  <c r="E26" i="17"/>
  <c r="E20" i="17"/>
  <c r="F221" i="17"/>
  <c r="E277" i="17"/>
  <c r="F111" i="17"/>
  <c r="F225" i="17"/>
  <c r="F179" i="17"/>
  <c r="E114" i="17"/>
  <c r="F283" i="17"/>
  <c r="E214" i="17"/>
  <c r="E184" i="17"/>
  <c r="E105" i="17"/>
  <c r="E220" i="17"/>
  <c r="F298" i="17"/>
  <c r="E224" i="17"/>
  <c r="F266" i="17"/>
  <c r="F90" i="17"/>
  <c r="E134" i="17"/>
  <c r="F63" i="17"/>
  <c r="F180" i="17"/>
  <c r="E164" i="17"/>
  <c r="F49" i="17"/>
  <c r="E115" i="17"/>
  <c r="E217" i="17"/>
  <c r="E183" i="17"/>
  <c r="E285" i="17"/>
  <c r="E283" i="17"/>
  <c r="F157" i="17"/>
  <c r="F155" i="17"/>
  <c r="F281" i="17"/>
  <c r="F191" i="17"/>
  <c r="E126" i="17"/>
  <c r="F195" i="17"/>
  <c r="E130" i="17"/>
  <c r="F43" i="17"/>
  <c r="E49" i="17"/>
  <c r="E62" i="17"/>
  <c r="F210" i="17"/>
  <c r="E181" i="17"/>
  <c r="E166" i="17"/>
  <c r="F47" i="17"/>
  <c r="E100" i="17"/>
  <c r="F216" i="17"/>
  <c r="F72" i="17"/>
  <c r="F284" i="17"/>
  <c r="E39" i="17"/>
  <c r="E161" i="17"/>
  <c r="E159" i="17"/>
  <c r="E261" i="17"/>
  <c r="E195" i="17"/>
  <c r="E297" i="17"/>
  <c r="E199" i="17"/>
  <c r="E301" i="17"/>
  <c r="E36" i="17"/>
  <c r="F240" i="17"/>
  <c r="F83" i="17"/>
  <c r="F110" i="17"/>
  <c r="F260" i="17"/>
  <c r="F300" i="17"/>
  <c r="F15" i="17"/>
  <c r="E136" i="17"/>
  <c r="E274" i="17"/>
  <c r="F306" i="17"/>
  <c r="E245" i="17"/>
  <c r="E171" i="17"/>
  <c r="F50" i="17"/>
  <c r="E307" i="17"/>
  <c r="E270" i="17"/>
  <c r="E208" i="17"/>
  <c r="F154" i="17"/>
  <c r="E308" i="17"/>
  <c r="F238" i="17"/>
  <c r="F132" i="17"/>
  <c r="F103" i="17"/>
  <c r="F168" i="17"/>
  <c r="F107" i="17"/>
  <c r="F172" i="17"/>
  <c r="F212" i="17"/>
  <c r="E14" i="17"/>
  <c r="F150" i="17"/>
  <c r="F12" i="17"/>
  <c r="F23" i="17"/>
  <c r="E23" i="17"/>
  <c r="E175" i="17"/>
  <c r="E172" i="17"/>
  <c r="E302" i="17"/>
  <c r="E240" i="17"/>
  <c r="F230" i="17"/>
  <c r="F118" i="17"/>
  <c r="F99" i="17"/>
  <c r="F164" i="17"/>
  <c r="E84" i="17"/>
  <c r="F200" i="17"/>
  <c r="E88" i="17"/>
  <c r="F204" i="17"/>
  <c r="F158" i="17"/>
  <c r="F10" i="17"/>
  <c r="F130" i="17"/>
  <c r="F39" i="17"/>
  <c r="F272" i="17"/>
  <c r="E230" i="17"/>
  <c r="F116" i="17"/>
  <c r="F95" i="17"/>
  <c r="F73" i="17"/>
  <c r="F171" i="17"/>
  <c r="F253" i="17"/>
  <c r="F275" i="17"/>
  <c r="E244" i="17"/>
  <c r="E101" i="17"/>
  <c r="E31" i="17"/>
  <c r="E111" i="17"/>
  <c r="F36" i="17"/>
  <c r="F120" i="17"/>
  <c r="E50" i="17"/>
  <c r="F188" i="17"/>
  <c r="F80" i="17"/>
  <c r="F288" i="17"/>
  <c r="E43" i="17"/>
  <c r="E165" i="17"/>
  <c r="E47" i="17"/>
  <c r="E201" i="17"/>
  <c r="F94" i="17"/>
  <c r="E205" i="17"/>
  <c r="E96" i="17"/>
  <c r="F135" i="17"/>
  <c r="E81" i="17"/>
  <c r="F308" i="17"/>
  <c r="E83" i="17"/>
  <c r="E80" i="17"/>
  <c r="F87" i="17"/>
  <c r="F152" i="17"/>
  <c r="E104" i="17"/>
  <c r="F220" i="17"/>
  <c r="F101" i="17"/>
  <c r="F27" i="17"/>
  <c r="E99" i="17"/>
  <c r="E197" i="17"/>
  <c r="E131" i="17"/>
  <c r="E233" i="17"/>
  <c r="E135" i="17"/>
  <c r="E237" i="17"/>
  <c r="F254" i="17"/>
  <c r="E38" i="17"/>
  <c r="F199" i="17"/>
  <c r="E19" i="17"/>
  <c r="F37" i="17"/>
  <c r="F276" i="17"/>
  <c r="E98" i="17"/>
  <c r="E204" i="17"/>
  <c r="F146" i="17"/>
  <c r="E272" i="17"/>
  <c r="F246" i="17"/>
  <c r="F178" i="17"/>
  <c r="F78" i="17"/>
  <c r="F196" i="17"/>
  <c r="F79" i="17"/>
  <c r="F232" i="17"/>
  <c r="F84" i="17"/>
  <c r="F236" i="17"/>
  <c r="F202" i="17"/>
  <c r="E145" i="17"/>
  <c r="E13" i="17"/>
  <c r="E209" i="17"/>
  <c r="F69" i="17"/>
  <c r="E298" i="17"/>
  <c r="F60" i="17"/>
  <c r="F244" i="17"/>
  <c r="F175" i="17"/>
  <c r="E110" i="17"/>
  <c r="F243" i="17"/>
  <c r="E178" i="17"/>
  <c r="E148" i="17"/>
  <c r="E278" i="17"/>
  <c r="E248" i="17"/>
  <c r="F290" i="17"/>
  <c r="E284" i="17"/>
  <c r="F206" i="17"/>
  <c r="E288" i="17"/>
  <c r="E234" i="17"/>
  <c r="F167" i="17"/>
  <c r="F18" i="17"/>
  <c r="E176" i="17"/>
  <c r="F82" i="17"/>
  <c r="F236" i="23"/>
  <c r="F283" i="23"/>
  <c r="F217" i="23"/>
  <c r="E21" i="23"/>
  <c r="E79" i="23"/>
  <c r="F40" i="23"/>
  <c r="L28" i="8"/>
  <c r="G11" i="17"/>
  <c r="D11" i="17"/>
  <c r="I52" i="11"/>
  <c r="P50" i="11"/>
  <c r="AF18" i="11"/>
  <c r="AD50" i="11"/>
  <c r="G12" i="23"/>
  <c r="AD49" i="11"/>
  <c r="I41" i="11"/>
  <c r="P39" i="11"/>
  <c r="V49" i="11"/>
  <c r="I16" i="11"/>
  <c r="V42" i="11"/>
  <c r="I12" i="11"/>
  <c r="V38" i="11"/>
  <c r="I15" i="11"/>
  <c r="V41" i="11"/>
  <c r="AD51" i="11"/>
  <c r="D236" i="23"/>
  <c r="D176" i="23"/>
  <c r="D48" i="23"/>
  <c r="D116" i="23"/>
  <c r="D263" i="23"/>
  <c r="D164" i="23"/>
  <c r="D299" i="23"/>
  <c r="D267" i="23"/>
  <c r="D76" i="23"/>
  <c r="D14" i="23"/>
  <c r="D239" i="23"/>
  <c r="D54" i="23"/>
  <c r="D92" i="23"/>
  <c r="D298" i="23"/>
  <c r="D167" i="23"/>
  <c r="D155" i="23"/>
  <c r="D231" i="23"/>
  <c r="D262" i="23"/>
  <c r="D219" i="23"/>
  <c r="D138" i="23"/>
  <c r="D133" i="23"/>
  <c r="D44" i="23"/>
  <c r="D41" i="23"/>
  <c r="D241" i="23"/>
  <c r="D283" i="23"/>
  <c r="D216" i="23"/>
  <c r="D302" i="23"/>
  <c r="D243" i="23"/>
  <c r="D240" i="23"/>
  <c r="D287" i="23"/>
  <c r="D222" i="23"/>
  <c r="D293" i="23"/>
  <c r="D29" i="23"/>
  <c r="D271" i="23"/>
  <c r="D270" i="23"/>
  <c r="D27" i="23"/>
  <c r="D61" i="23"/>
  <c r="D186" i="23"/>
  <c r="D158" i="23"/>
  <c r="D112" i="23"/>
  <c r="D192" i="23"/>
  <c r="D94" i="23"/>
  <c r="D303" i="23"/>
  <c r="D145" i="23"/>
  <c r="D233" i="23"/>
  <c r="D154" i="23"/>
  <c r="D38" i="23"/>
  <c r="D134" i="23"/>
  <c r="D278" i="23"/>
  <c r="D104" i="23"/>
  <c r="D260" i="23"/>
  <c r="D113" i="23"/>
  <c r="D246" i="23"/>
  <c r="D13" i="23"/>
  <c r="G7" i="23"/>
  <c r="D253" i="23"/>
  <c r="D210" i="23"/>
  <c r="D140" i="23"/>
  <c r="D151" i="23"/>
  <c r="D189" i="23"/>
  <c r="D52" i="23"/>
  <c r="D78" i="23"/>
  <c r="D126" i="23"/>
  <c r="D147" i="23"/>
  <c r="D277" i="23"/>
  <c r="D187" i="23"/>
  <c r="D301" i="23"/>
  <c r="D200" i="23"/>
  <c r="D43" i="23"/>
  <c r="D90" i="23"/>
  <c r="D56" i="23"/>
  <c r="D152" i="23"/>
  <c r="D269" i="23"/>
  <c r="D109" i="23"/>
  <c r="D194" i="23"/>
  <c r="D308" i="23"/>
  <c r="D149" i="23"/>
  <c r="D199" i="23"/>
  <c r="D206" i="23"/>
  <c r="D203" i="23"/>
  <c r="D70" i="23"/>
  <c r="D15" i="23"/>
  <c r="D235" i="23"/>
  <c r="D173" i="23"/>
  <c r="D40" i="23"/>
  <c r="D102" i="23"/>
  <c r="D179" i="23"/>
  <c r="D284" i="23"/>
  <c r="D31" i="23"/>
  <c r="D307" i="23"/>
  <c r="D105" i="23"/>
  <c r="D55" i="23"/>
  <c r="D60" i="23"/>
  <c r="D204" i="23"/>
  <c r="D296" i="23"/>
  <c r="D295" i="23"/>
  <c r="D165" i="23"/>
  <c r="D172" i="23"/>
  <c r="D32" i="23"/>
  <c r="D81" i="23"/>
  <c r="D281" i="23"/>
  <c r="D18" i="23"/>
  <c r="D188" i="23"/>
  <c r="D88" i="23"/>
  <c r="D59" i="23"/>
  <c r="D215" i="23"/>
  <c r="D96" i="23"/>
  <c r="D304" i="23"/>
  <c r="D58" i="23"/>
  <c r="D77" i="23"/>
  <c r="D157" i="23"/>
  <c r="D127" i="23"/>
  <c r="D73" i="23"/>
  <c r="D95" i="23"/>
  <c r="D150" i="23"/>
  <c r="D80" i="23"/>
  <c r="D63" i="23"/>
  <c r="D181" i="23"/>
  <c r="D229" i="23"/>
  <c r="D280" i="23"/>
  <c r="D84" i="23"/>
  <c r="D68" i="23"/>
  <c r="D177" i="23"/>
  <c r="D98" i="23"/>
  <c r="D144" i="23"/>
  <c r="D227" i="23"/>
  <c r="D148" i="23"/>
  <c r="D34" i="23"/>
  <c r="D214" i="23"/>
  <c r="D93" i="23"/>
  <c r="D45" i="23"/>
  <c r="D266" i="23"/>
  <c r="D89" i="23"/>
  <c r="D196" i="23"/>
  <c r="D24" i="23"/>
  <c r="D217" i="23"/>
  <c r="D129" i="23"/>
  <c r="D49" i="23"/>
  <c r="D265" i="23"/>
  <c r="D82" i="23"/>
  <c r="D285" i="23"/>
  <c r="D62" i="23"/>
  <c r="D123" i="23"/>
  <c r="D258" i="23"/>
  <c r="D120" i="23"/>
  <c r="D257" i="23"/>
  <c r="D238" i="23"/>
  <c r="D11" i="23"/>
  <c r="D17" i="23"/>
  <c r="D37" i="23"/>
  <c r="D69" i="23"/>
  <c r="D254" i="23"/>
  <c r="D268" i="23"/>
  <c r="D156" i="23"/>
  <c r="D53" i="23"/>
  <c r="D292" i="23"/>
  <c r="D221" i="23"/>
  <c r="D185" i="23"/>
  <c r="D39" i="23"/>
  <c r="D87" i="23"/>
  <c r="D191" i="23"/>
  <c r="D153" i="23"/>
  <c r="D195" i="23"/>
  <c r="D159" i="23"/>
  <c r="D305" i="23"/>
  <c r="D225" i="23"/>
  <c r="D85" i="23"/>
  <c r="D107" i="23"/>
  <c r="D135" i="23"/>
  <c r="D226" i="23"/>
  <c r="D289" i="23"/>
  <c r="D47" i="23"/>
  <c r="D264" i="23"/>
  <c r="D166" i="23"/>
  <c r="D22" i="23"/>
  <c r="D16" i="23"/>
  <c r="D139" i="23"/>
  <c r="D201" i="23"/>
  <c r="D255" i="23"/>
  <c r="D65" i="23"/>
  <c r="D146" i="23"/>
  <c r="D64" i="23"/>
  <c r="P44" i="11"/>
  <c r="AD60" i="11"/>
  <c r="I22" i="11"/>
  <c r="V48" i="11"/>
  <c r="AD59" i="11"/>
  <c r="P47" i="11"/>
  <c r="D245" i="23"/>
  <c r="D175" i="23"/>
  <c r="D190" i="23"/>
  <c r="D72" i="23"/>
  <c r="D30" i="23"/>
  <c r="D51" i="23"/>
  <c r="D103" i="23"/>
  <c r="I42" i="11"/>
  <c r="P40" i="11"/>
  <c r="D198" i="23"/>
  <c r="D274" i="23"/>
  <c r="D300" i="23"/>
  <c r="D115" i="23"/>
  <c r="D83" i="23"/>
  <c r="D183" i="23"/>
  <c r="D111" i="23"/>
  <c r="D10" i="23"/>
  <c r="D170" i="23"/>
  <c r="D99" i="23"/>
  <c r="D163" i="23"/>
  <c r="D234" i="23"/>
  <c r="D9" i="23"/>
  <c r="D46" i="23"/>
  <c r="D276" i="23"/>
  <c r="D97" i="23"/>
  <c r="D182" i="23"/>
  <c r="D121" i="23"/>
  <c r="D161" i="23"/>
  <c r="D174" i="23"/>
  <c r="D28" i="23"/>
  <c r="D282" i="23"/>
  <c r="D209" i="23"/>
  <c r="P38" i="11"/>
  <c r="P52" i="11"/>
  <c r="D202" i="23"/>
  <c r="D251" i="23"/>
  <c r="D143" i="23"/>
  <c r="D50" i="23"/>
  <c r="D259" i="23"/>
  <c r="D20" i="23"/>
  <c r="D23" i="23"/>
  <c r="I33" i="11"/>
  <c r="V59" i="11"/>
  <c r="D21" i="23"/>
  <c r="D237" i="23"/>
  <c r="D91" i="23"/>
  <c r="D86" i="23"/>
  <c r="D125" i="23"/>
  <c r="D36" i="23"/>
  <c r="D213" i="23"/>
  <c r="D248" i="23"/>
  <c r="D288" i="23"/>
  <c r="D275" i="23"/>
  <c r="D101" i="23"/>
  <c r="D228" i="23"/>
  <c r="D132" i="23"/>
  <c r="D247" i="23"/>
  <c r="D297" i="23"/>
  <c r="D130" i="23"/>
  <c r="D66" i="23"/>
  <c r="D207" i="23"/>
  <c r="D212" i="23"/>
  <c r="D35" i="23"/>
  <c r="D286" i="23"/>
  <c r="D294" i="23"/>
  <c r="D19" i="23"/>
  <c r="AF3" i="11"/>
  <c r="AD35" i="11"/>
  <c r="I60" i="11"/>
  <c r="P58" i="11"/>
  <c r="P49" i="11"/>
  <c r="AD36" i="11"/>
  <c r="P57" i="11"/>
  <c r="AF26" i="11"/>
  <c r="AD58" i="11"/>
  <c r="G10" i="23"/>
  <c r="G11" i="23"/>
  <c r="G9" i="23"/>
  <c r="AD41" i="11"/>
  <c r="I57" i="11"/>
  <c r="P55" i="11"/>
  <c r="AF8" i="11"/>
  <c r="AD40" i="11"/>
  <c r="I61" i="11"/>
  <c r="P59" i="11"/>
  <c r="AD55" i="11"/>
  <c r="V52" i="11"/>
  <c r="V47" i="11"/>
  <c r="AD52" i="11"/>
  <c r="V37" i="11"/>
  <c r="H10" i="11"/>
  <c r="AE21" i="11"/>
  <c r="H28" i="11"/>
  <c r="H58" i="11"/>
  <c r="H44" i="11"/>
  <c r="H25" i="11"/>
  <c r="AE11" i="11"/>
  <c r="F10" i="23"/>
  <c r="F145" i="23"/>
  <c r="F94" i="23"/>
  <c r="F262" i="23"/>
  <c r="F266" i="23"/>
  <c r="F75" i="23"/>
  <c r="F233" i="23"/>
  <c r="F182" i="23"/>
  <c r="F100" i="23"/>
  <c r="F33" i="23"/>
  <c r="F204" i="23"/>
  <c r="F59" i="23"/>
  <c r="E29" i="23"/>
  <c r="F272" i="23"/>
  <c r="F65" i="23"/>
  <c r="F135" i="23"/>
  <c r="F293" i="23"/>
  <c r="F242" i="23"/>
  <c r="F160" i="23"/>
  <c r="F181" i="23"/>
  <c r="F140" i="23"/>
  <c r="F93" i="23"/>
  <c r="F227" i="23"/>
  <c r="F74" i="23"/>
  <c r="F302" i="23"/>
  <c r="F220" i="23"/>
  <c r="F115" i="23"/>
  <c r="F241" i="23"/>
  <c r="F21" i="23"/>
  <c r="F190" i="23"/>
  <c r="F255" i="23"/>
  <c r="F102" i="23"/>
  <c r="F84" i="23"/>
  <c r="F280" i="23"/>
  <c r="F73" i="23"/>
  <c r="F175" i="23"/>
  <c r="F301" i="23"/>
  <c r="F250" i="23"/>
  <c r="F168" i="23"/>
  <c r="F130" i="23"/>
  <c r="F76" i="23"/>
  <c r="F251" i="23"/>
  <c r="E19" i="23"/>
  <c r="F144" i="23"/>
  <c r="F165" i="23"/>
  <c r="F235" i="23"/>
  <c r="F124" i="23"/>
  <c r="F122" i="23"/>
  <c r="F30" i="23"/>
  <c r="F159" i="23"/>
  <c r="F261" i="23"/>
  <c r="F210" i="23"/>
  <c r="F128" i="23"/>
  <c r="F149" i="23"/>
  <c r="F24" i="23"/>
  <c r="F61" i="23"/>
  <c r="F195" i="23"/>
  <c r="F42" i="23"/>
  <c r="F270" i="23"/>
  <c r="F188" i="23"/>
  <c r="F83" i="23"/>
  <c r="F209" i="23"/>
  <c r="F279" i="23"/>
  <c r="F158" i="23"/>
  <c r="F23" i="23"/>
  <c r="E13" i="23"/>
  <c r="G16" i="23"/>
  <c r="F219" i="23"/>
  <c r="F91" i="23"/>
  <c r="F223" i="23"/>
  <c r="F70" i="23"/>
  <c r="F52" i="23"/>
  <c r="F248" i="23"/>
  <c r="H37" i="11"/>
  <c r="AC3" i="11"/>
  <c r="G13" i="23"/>
  <c r="G251" i="23"/>
  <c r="H7" i="17"/>
  <c r="D10" i="17"/>
  <c r="G7" i="17"/>
  <c r="I58" i="11"/>
  <c r="P56" i="11"/>
  <c r="G118" i="23"/>
  <c r="G155" i="23"/>
  <c r="G228" i="23"/>
  <c r="G164" i="23"/>
  <c r="H153" i="23"/>
  <c r="G85" i="23"/>
  <c r="G108" i="23"/>
  <c r="G35" i="23"/>
  <c r="G256" i="23"/>
  <c r="G210" i="23"/>
  <c r="G279" i="23"/>
  <c r="G119" i="23"/>
  <c r="G303" i="23"/>
  <c r="G219" i="23"/>
  <c r="G132" i="23"/>
  <c r="G136" i="23"/>
  <c r="G109" i="23"/>
  <c r="G44" i="23"/>
  <c r="H33" i="23"/>
  <c r="G84" i="23"/>
  <c r="G215" i="23"/>
  <c r="G198" i="23"/>
  <c r="G128" i="23"/>
  <c r="H117" i="23"/>
  <c r="G220" i="23"/>
  <c r="G77" i="23"/>
  <c r="G254" i="23"/>
  <c r="G174" i="23"/>
  <c r="G105" i="23"/>
  <c r="G32" i="23"/>
  <c r="H21" i="23"/>
  <c r="G12" i="17"/>
  <c r="D12" i="17"/>
  <c r="G212" i="23"/>
  <c r="H201" i="23"/>
  <c r="G227" i="23"/>
  <c r="G51" i="23"/>
  <c r="G116" i="23"/>
  <c r="H105" i="23"/>
  <c r="G242" i="23"/>
  <c r="G271" i="23"/>
  <c r="G225" i="23"/>
  <c r="G239" i="23"/>
  <c r="G137" i="23"/>
  <c r="G147" i="23"/>
  <c r="G194" i="23"/>
  <c r="G134" i="23"/>
  <c r="G150" i="23"/>
  <c r="G270" i="23"/>
  <c r="G286" i="23"/>
  <c r="G308" i="23"/>
  <c r="H297" i="23"/>
  <c r="G238" i="23"/>
  <c r="G245" i="23"/>
  <c r="G195" i="23"/>
  <c r="G181" i="23"/>
  <c r="G112" i="23"/>
  <c r="G106" i="23"/>
  <c r="G298" i="23"/>
  <c r="G111" i="23"/>
  <c r="G110" i="23"/>
  <c r="G201" i="23"/>
  <c r="G81" i="23"/>
  <c r="G281" i="23"/>
  <c r="G232" i="23"/>
  <c r="G175" i="23"/>
  <c r="G114" i="23"/>
  <c r="G250" i="23"/>
  <c r="G131" i="23"/>
  <c r="G264" i="23"/>
  <c r="G304" i="23"/>
  <c r="G40" i="23"/>
  <c r="G38" i="23"/>
  <c r="G123" i="23"/>
  <c r="G277" i="23"/>
  <c r="G224" i="23"/>
  <c r="H213" i="23"/>
  <c r="G163" i="23"/>
  <c r="G71" i="23"/>
  <c r="G130" i="23"/>
  <c r="G70" i="23"/>
  <c r="G177" i="23"/>
  <c r="G43" i="23"/>
  <c r="G307" i="23"/>
  <c r="G76" i="23"/>
  <c r="G182" i="23"/>
  <c r="G199" i="23"/>
  <c r="G305" i="23"/>
  <c r="G142" i="23"/>
  <c r="G252" i="23"/>
  <c r="G262" i="23"/>
  <c r="G102" i="23"/>
  <c r="G272" i="23"/>
  <c r="H261" i="23"/>
  <c r="G64" i="23"/>
  <c r="G188" i="23"/>
  <c r="H177" i="23"/>
  <c r="G259" i="23"/>
  <c r="G24" i="23"/>
  <c r="G30" i="23"/>
  <c r="G206" i="23"/>
  <c r="G186" i="23"/>
  <c r="G184" i="23"/>
  <c r="G300" i="23"/>
  <c r="G180" i="23"/>
  <c r="G29" i="23"/>
  <c r="G269" i="23"/>
  <c r="G57" i="23"/>
  <c r="G151" i="23"/>
  <c r="G266" i="23"/>
  <c r="G68" i="23"/>
  <c r="H57" i="23"/>
  <c r="G152" i="23"/>
  <c r="H141" i="23"/>
  <c r="G190" i="23"/>
  <c r="G73" i="23"/>
  <c r="G202" i="23"/>
  <c r="G83" i="23"/>
  <c r="G302" i="23"/>
  <c r="I28" i="11"/>
  <c r="V54" i="11"/>
  <c r="G267" i="23"/>
  <c r="G274" i="23"/>
  <c r="G56" i="23"/>
  <c r="H45" i="23"/>
  <c r="G200" i="23"/>
  <c r="H189" i="23"/>
  <c r="G65" i="23"/>
  <c r="G66" i="23"/>
  <c r="G285" i="23"/>
  <c r="G148" i="23"/>
  <c r="G127" i="23"/>
  <c r="G46" i="23"/>
  <c r="G236" i="23"/>
  <c r="H225" i="23"/>
  <c r="G183" i="23"/>
  <c r="G25" i="23"/>
  <c r="G37" i="23"/>
  <c r="G107" i="23"/>
  <c r="G100" i="23"/>
  <c r="G31" i="23"/>
  <c r="G246" i="23"/>
  <c r="G230" i="23"/>
  <c r="G291" i="23"/>
  <c r="G284" i="23"/>
  <c r="H273" i="23"/>
  <c r="G203" i="23"/>
  <c r="G53" i="23"/>
  <c r="G154" i="23"/>
  <c r="G58" i="23"/>
  <c r="G42" i="23"/>
  <c r="G288" i="23"/>
  <c r="G87" i="23"/>
  <c r="G18" i="23"/>
  <c r="G94" i="23"/>
  <c r="G161" i="23"/>
  <c r="G261" i="23"/>
  <c r="G126" i="23"/>
  <c r="G234" i="23"/>
  <c r="G208" i="23"/>
  <c r="G306" i="23"/>
  <c r="G78" i="23"/>
  <c r="G159" i="23"/>
  <c r="G23" i="23"/>
  <c r="G96" i="23"/>
  <c r="G189" i="23"/>
  <c r="G54" i="23"/>
  <c r="G146" i="23"/>
  <c r="G255" i="23"/>
  <c r="G61" i="23"/>
  <c r="G240" i="23"/>
  <c r="G263" i="23"/>
  <c r="G141" i="23"/>
  <c r="G293" i="23"/>
  <c r="G170" i="23"/>
  <c r="G193" i="23"/>
  <c r="G165" i="23"/>
  <c r="G39" i="23"/>
  <c r="G19" i="23"/>
  <c r="G33" i="23"/>
  <c r="G178" i="23"/>
  <c r="G176" i="23"/>
  <c r="H165" i="23"/>
  <c r="G122" i="23"/>
  <c r="G79" i="23"/>
  <c r="G157" i="23"/>
  <c r="G268" i="23"/>
  <c r="G192" i="23"/>
  <c r="I37" i="11"/>
  <c r="P35" i="11"/>
  <c r="I25" i="11"/>
  <c r="V51" i="11"/>
  <c r="AF21" i="11"/>
  <c r="AD53" i="11"/>
  <c r="G221" i="23"/>
  <c r="G74" i="23"/>
  <c r="G98" i="23"/>
  <c r="G169" i="23"/>
  <c r="G233" i="23"/>
  <c r="G167" i="23"/>
  <c r="G205" i="23"/>
  <c r="G139" i="23"/>
  <c r="G89" i="23"/>
  <c r="G133" i="23"/>
  <c r="G213" i="23"/>
  <c r="G282" i="23"/>
  <c r="G101" i="23"/>
  <c r="G120" i="23"/>
  <c r="G36" i="23"/>
  <c r="G20" i="23"/>
  <c r="H9" i="23"/>
  <c r="G63" i="23"/>
  <c r="G91" i="23"/>
  <c r="G216" i="23"/>
  <c r="G160" i="23"/>
  <c r="G197" i="23"/>
  <c r="G75" i="23"/>
  <c r="G185" i="23"/>
  <c r="G41" i="23"/>
  <c r="G260" i="23"/>
  <c r="H249" i="23"/>
  <c r="G258" i="23"/>
  <c r="G113" i="23"/>
  <c r="G48" i="23"/>
  <c r="G226" i="23"/>
  <c r="G104" i="23"/>
  <c r="H93" i="23"/>
  <c r="G93" i="23"/>
  <c r="G209" i="23"/>
  <c r="G295" i="23"/>
  <c r="G92" i="23"/>
  <c r="H81" i="23"/>
  <c r="G140" i="23"/>
  <c r="H129" i="23"/>
  <c r="G241" i="23"/>
  <c r="G158" i="23"/>
  <c r="G22" i="23"/>
  <c r="G15" i="23"/>
  <c r="G144" i="23"/>
  <c r="G265" i="23"/>
  <c r="G52" i="23"/>
  <c r="G156" i="23"/>
  <c r="G211" i="23"/>
  <c r="G55" i="23"/>
  <c r="G135" i="23"/>
  <c r="G296" i="23"/>
  <c r="H285" i="23"/>
  <c r="G166" i="23"/>
  <c r="G168" i="23"/>
  <c r="G243" i="23"/>
  <c r="G229" i="23"/>
  <c r="G289" i="23"/>
  <c r="G90" i="23"/>
  <c r="G82" i="23"/>
  <c r="G14" i="23"/>
  <c r="L29" i="8"/>
  <c r="G62" i="23"/>
  <c r="G179" i="23"/>
  <c r="G222" i="23"/>
  <c r="G294" i="23"/>
  <c r="G99" i="23"/>
  <c r="G26" i="23"/>
  <c r="G223" i="23"/>
  <c r="G204" i="23"/>
  <c r="G173" i="23"/>
  <c r="G290" i="23"/>
  <c r="G121" i="23"/>
  <c r="G299" i="23"/>
  <c r="G283" i="23"/>
  <c r="G247" i="23"/>
  <c r="G143" i="23"/>
  <c r="G171" i="23"/>
  <c r="G218" i="23"/>
  <c r="G72" i="23"/>
  <c r="AF11" i="11"/>
  <c r="AD43" i="11"/>
  <c r="P42" i="11"/>
  <c r="I44" i="11"/>
  <c r="I10" i="11"/>
  <c r="V36" i="11"/>
  <c r="G280" i="23"/>
  <c r="G138" i="23"/>
  <c r="G67" i="23"/>
  <c r="G117" i="23"/>
  <c r="G217" i="23"/>
  <c r="G237" i="23"/>
  <c r="G129" i="23"/>
  <c r="G124" i="23"/>
  <c r="G276" i="23"/>
  <c r="G69" i="23"/>
  <c r="G235" i="23"/>
  <c r="G45" i="23"/>
  <c r="G34" i="23"/>
  <c r="G97" i="23"/>
  <c r="G28" i="23"/>
  <c r="G27" i="23"/>
  <c r="G95" i="23"/>
  <c r="G257" i="23"/>
  <c r="G191" i="23"/>
  <c r="G103" i="23"/>
  <c r="G287" i="23"/>
  <c r="G50" i="23"/>
  <c r="G253" i="23"/>
  <c r="G249" i="23"/>
  <c r="G301" i="23"/>
  <c r="G17" i="23"/>
  <c r="G47" i="23"/>
  <c r="G162" i="23"/>
  <c r="G187" i="23"/>
  <c r="G214" i="23"/>
  <c r="G125" i="23"/>
  <c r="G88" i="23"/>
  <c r="G244" i="23"/>
  <c r="G231" i="23"/>
  <c r="G297" i="23"/>
  <c r="G278" i="23"/>
  <c r="G59" i="23"/>
  <c r="G21" i="23"/>
  <c r="G207" i="23"/>
  <c r="G80" i="23"/>
  <c r="H69" i="23"/>
  <c r="G145" i="23"/>
  <c r="G172" i="23"/>
  <c r="G149" i="23"/>
  <c r="G275" i="23"/>
  <c r="G196" i="23"/>
  <c r="G153" i="23"/>
  <c r="G248" i="23"/>
  <c r="H237" i="23"/>
  <c r="G292" i="23"/>
  <c r="G60" i="23"/>
  <c r="G273" i="23"/>
  <c r="G115" i="23"/>
  <c r="G49" i="23"/>
  <c r="G86" i="23"/>
  <c r="D13" i="17"/>
  <c r="G13" i="17"/>
  <c r="L30" i="8"/>
  <c r="D14" i="17"/>
  <c r="G14" i="17"/>
  <c r="L31" i="8"/>
  <c r="L32" i="8"/>
  <c r="D15" i="17"/>
  <c r="G15" i="17"/>
  <c r="G16" i="17"/>
  <c r="D16" i="17"/>
  <c r="L33" i="8"/>
  <c r="D17" i="17"/>
  <c r="G17" i="17"/>
  <c r="L34" i="8"/>
  <c r="G18" i="17"/>
  <c r="D18" i="17"/>
  <c r="L35" i="8"/>
  <c r="L36" i="8"/>
  <c r="D19" i="17"/>
  <c r="G19" i="17"/>
  <c r="G20" i="17"/>
  <c r="D20" i="17"/>
  <c r="L37" i="8"/>
  <c r="G21" i="17"/>
  <c r="D21" i="17"/>
  <c r="H9" i="17"/>
  <c r="AC26" i="8"/>
  <c r="L38" i="8"/>
  <c r="AG26" i="8"/>
  <c r="L39" i="8"/>
  <c r="G22" i="17"/>
  <c r="D22" i="17"/>
  <c r="G23" i="17"/>
  <c r="D23" i="17"/>
  <c r="L40" i="8"/>
  <c r="L41" i="8"/>
  <c r="D24" i="17"/>
  <c r="G24" i="17"/>
  <c r="L42" i="8"/>
  <c r="D25" i="17"/>
  <c r="G25" i="17"/>
  <c r="G26" i="17"/>
  <c r="D26" i="17"/>
  <c r="L43" i="8"/>
  <c r="L44" i="8"/>
  <c r="D27" i="17"/>
  <c r="G27" i="17"/>
  <c r="D28" i="17"/>
  <c r="G28" i="17"/>
  <c r="L45" i="8"/>
  <c r="L46" i="8"/>
  <c r="G29" i="17"/>
  <c r="D29" i="17"/>
  <c r="D30" i="17"/>
  <c r="G30" i="17"/>
  <c r="L47" i="8"/>
  <c r="L48" i="8"/>
  <c r="D31" i="17"/>
  <c r="G31" i="17"/>
  <c r="G32" i="17"/>
  <c r="D32" i="17"/>
  <c r="L49" i="8"/>
  <c r="L50" i="8"/>
  <c r="D33" i="17"/>
  <c r="G33" i="17"/>
  <c r="H21" i="17"/>
  <c r="AC27" i="8"/>
  <c r="D34" i="17"/>
  <c r="G34" i="17"/>
  <c r="AG27" i="8"/>
  <c r="AB27" i="8"/>
  <c r="G35" i="17"/>
  <c r="D35" i="17"/>
  <c r="D36" i="17"/>
  <c r="G36" i="17"/>
  <c r="G37" i="17"/>
  <c r="D37" i="17"/>
  <c r="G38" i="17"/>
  <c r="D38" i="17"/>
  <c r="G39" i="17"/>
  <c r="D39" i="17"/>
  <c r="D40" i="17"/>
  <c r="G40" i="17"/>
  <c r="G41" i="17"/>
  <c r="D41" i="17"/>
  <c r="G42" i="17"/>
  <c r="D42" i="17"/>
  <c r="G43" i="17"/>
  <c r="D43" i="17"/>
  <c r="D44" i="17"/>
  <c r="G44" i="17"/>
  <c r="H33" i="17"/>
  <c r="AC28" i="8"/>
  <c r="D45" i="17"/>
  <c r="G45" i="17"/>
  <c r="G46" i="17"/>
  <c r="D46" i="17"/>
  <c r="AG28" i="8"/>
  <c r="G47" i="17"/>
  <c r="D47" i="17"/>
  <c r="D48" i="17"/>
  <c r="G48" i="17"/>
  <c r="G49" i="17"/>
  <c r="D49" i="17"/>
  <c r="G50" i="17"/>
  <c r="D50" i="17"/>
  <c r="G51" i="17"/>
  <c r="D51" i="17"/>
  <c r="D52" i="17"/>
  <c r="G52" i="17"/>
  <c r="G53" i="17"/>
  <c r="D53" i="17"/>
  <c r="D54" i="17"/>
  <c r="G54" i="17"/>
  <c r="G55" i="17"/>
  <c r="D55" i="17"/>
  <c r="D56" i="17"/>
  <c r="G56" i="17"/>
  <c r="H45" i="17"/>
  <c r="AC29" i="8"/>
  <c r="D57" i="17"/>
  <c r="G57" i="17"/>
  <c r="G58" i="17"/>
  <c r="D58" i="17"/>
  <c r="AG29" i="8"/>
  <c r="D59" i="17"/>
  <c r="G59" i="17"/>
  <c r="G60" i="17"/>
  <c r="D60" i="17"/>
  <c r="G61" i="17"/>
  <c r="D61" i="17"/>
  <c r="G62" i="17"/>
  <c r="D62" i="17"/>
  <c r="D63" i="17"/>
  <c r="G63" i="17"/>
  <c r="D64" i="17"/>
  <c r="G64" i="17"/>
  <c r="G65" i="17"/>
  <c r="D65" i="17"/>
  <c r="G66" i="17"/>
  <c r="D66" i="17"/>
  <c r="G67" i="17"/>
  <c r="D67" i="17"/>
  <c r="G68" i="17"/>
  <c r="D68" i="17"/>
  <c r="D69" i="17"/>
  <c r="H57" i="17"/>
  <c r="AC30" i="8"/>
  <c r="G69" i="17"/>
  <c r="G70" i="17"/>
  <c r="D70" i="17"/>
  <c r="AG30" i="8"/>
  <c r="D71" i="17"/>
  <c r="G71" i="17"/>
  <c r="G72" i="17"/>
  <c r="D72" i="17"/>
  <c r="D73" i="17"/>
  <c r="G73" i="17"/>
  <c r="D74" i="17"/>
  <c r="G74" i="17"/>
  <c r="D75" i="17"/>
  <c r="G75" i="17"/>
  <c r="G76" i="17"/>
  <c r="D76" i="17"/>
  <c r="G77" i="17"/>
  <c r="D77" i="17"/>
  <c r="G78" i="17"/>
  <c r="D78" i="17"/>
  <c r="D79" i="17"/>
  <c r="G79" i="17"/>
  <c r="G80" i="17"/>
  <c r="D80" i="17"/>
  <c r="D81" i="17"/>
  <c r="G81" i="17"/>
  <c r="H69" i="17"/>
  <c r="AC31" i="8"/>
  <c r="AG31" i="8"/>
  <c r="AB31" i="8"/>
  <c r="G82" i="17"/>
  <c r="D82" i="17"/>
  <c r="D83" i="17"/>
  <c r="G83" i="17"/>
  <c r="G84" i="17"/>
  <c r="D84" i="17"/>
  <c r="D85" i="17"/>
  <c r="G85" i="17"/>
  <c r="D86" i="17"/>
  <c r="G86" i="17"/>
  <c r="G87" i="17"/>
  <c r="D87" i="17"/>
  <c r="G88" i="17"/>
  <c r="D88" i="17"/>
  <c r="G89" i="17"/>
  <c r="D89" i="17"/>
  <c r="D90" i="17"/>
  <c r="G90" i="17"/>
  <c r="G91" i="17"/>
  <c r="D91" i="17"/>
  <c r="G92" i="17"/>
  <c r="D92" i="17"/>
  <c r="G93" i="17"/>
  <c r="D93" i="17"/>
  <c r="H81" i="17"/>
  <c r="AC32" i="8"/>
  <c r="AG32" i="8"/>
  <c r="AB32" i="8"/>
  <c r="D94" i="17"/>
  <c r="G94" i="17"/>
  <c r="D95" i="17"/>
  <c r="G95" i="17"/>
  <c r="G96" i="17"/>
  <c r="D96" i="17"/>
  <c r="G97" i="17"/>
  <c r="D97" i="17"/>
  <c r="D98" i="17"/>
  <c r="G98" i="17"/>
  <c r="G99" i="17"/>
  <c r="D99" i="17"/>
  <c r="G100" i="17"/>
  <c r="D100" i="17"/>
  <c r="D101" i="17"/>
  <c r="G101" i="17"/>
  <c r="G102" i="17"/>
  <c r="D102" i="17"/>
  <c r="G103" i="17"/>
  <c r="D103" i="17"/>
  <c r="G104" i="17"/>
  <c r="D104" i="17"/>
  <c r="D105" i="17"/>
  <c r="H93" i="17"/>
  <c r="AC33" i="8"/>
  <c r="G105" i="17"/>
  <c r="AG33" i="8"/>
  <c r="D106" i="17"/>
  <c r="G106" i="17"/>
  <c r="G107" i="17"/>
  <c r="D107" i="17"/>
  <c r="G108" i="17"/>
  <c r="D108" i="17"/>
  <c r="D109" i="17"/>
  <c r="G109" i="17"/>
  <c r="G110" i="17"/>
  <c r="D110" i="17"/>
  <c r="D111" i="17"/>
  <c r="G111" i="17"/>
  <c r="G112" i="17"/>
  <c r="D112" i="17"/>
  <c r="D113" i="17"/>
  <c r="G113" i="17"/>
  <c r="D114" i="17"/>
  <c r="G114" i="17"/>
  <c r="D115" i="17"/>
  <c r="G115" i="17"/>
  <c r="D116" i="17"/>
  <c r="G116" i="17"/>
  <c r="D117" i="17"/>
  <c r="G117" i="17"/>
  <c r="H105" i="17"/>
  <c r="AC34" i="8"/>
  <c r="AG34" i="8"/>
  <c r="D118" i="17"/>
  <c r="G118" i="17"/>
  <c r="D119" i="17"/>
  <c r="G119" i="17"/>
  <c r="D120" i="17"/>
  <c r="G120" i="17"/>
  <c r="G121" i="17"/>
  <c r="D121" i="17"/>
  <c r="G122" i="17"/>
  <c r="D122" i="17"/>
  <c r="D123" i="17"/>
  <c r="G123" i="17"/>
  <c r="D124" i="17"/>
  <c r="G124" i="17"/>
  <c r="G125" i="17"/>
  <c r="D125" i="17"/>
  <c r="G126" i="17"/>
  <c r="D126" i="17"/>
  <c r="G127" i="17"/>
  <c r="D127" i="17"/>
  <c r="D128" i="17"/>
  <c r="G128" i="17"/>
  <c r="G129" i="17"/>
  <c r="H117" i="17"/>
  <c r="AC35" i="8"/>
  <c r="D129" i="17"/>
  <c r="AG35" i="8"/>
  <c r="G130" i="17"/>
  <c r="D130" i="17"/>
  <c r="G131" i="17"/>
  <c r="D131" i="17"/>
  <c r="G132" i="17"/>
  <c r="D132" i="17"/>
  <c r="D133" i="17"/>
  <c r="G133" i="17"/>
  <c r="D134" i="17"/>
  <c r="G134" i="17"/>
  <c r="G135" i="17"/>
  <c r="D135" i="17"/>
  <c r="G136" i="17"/>
  <c r="D136" i="17"/>
  <c r="D137" i="17"/>
  <c r="G137" i="17"/>
  <c r="D138" i="17"/>
  <c r="G138" i="17"/>
  <c r="D139" i="17"/>
  <c r="G139" i="17"/>
  <c r="G140" i="17"/>
  <c r="D140" i="17"/>
  <c r="D141" i="17"/>
  <c r="G141" i="17"/>
  <c r="H129" i="17"/>
  <c r="AC36" i="8"/>
  <c r="AG36" i="8"/>
  <c r="G142" i="17"/>
  <c r="D142" i="17"/>
  <c r="D143" i="17"/>
  <c r="G143" i="17"/>
  <c r="G144" i="17"/>
  <c r="D144" i="17"/>
  <c r="D145" i="17"/>
  <c r="G145" i="17"/>
  <c r="G146" i="17"/>
  <c r="D146" i="17"/>
  <c r="G147" i="17"/>
  <c r="D147" i="17"/>
  <c r="D148" i="17"/>
  <c r="G148" i="17"/>
  <c r="D149" i="17"/>
  <c r="G149" i="17"/>
  <c r="D150" i="17"/>
  <c r="G150" i="17"/>
  <c r="D151" i="17"/>
  <c r="G151" i="17"/>
  <c r="D152" i="17"/>
  <c r="G152" i="17"/>
  <c r="H141" i="17"/>
  <c r="AC37" i="8"/>
  <c r="D153" i="17"/>
  <c r="G153" i="17"/>
  <c r="D154" i="17"/>
  <c r="G154" i="17"/>
  <c r="AG37" i="8"/>
  <c r="G155" i="17"/>
  <c r="D155" i="17"/>
  <c r="D156" i="17"/>
  <c r="G156" i="17"/>
  <c r="G157" i="17"/>
  <c r="D157" i="17"/>
  <c r="D158" i="17"/>
  <c r="G158" i="17"/>
  <c r="G159" i="17"/>
  <c r="D159" i="17"/>
  <c r="G160" i="17"/>
  <c r="D160" i="17"/>
  <c r="G161" i="17"/>
  <c r="D161" i="17"/>
  <c r="D162" i="17"/>
  <c r="G162" i="17"/>
  <c r="G163" i="17"/>
  <c r="D163" i="17"/>
  <c r="D164" i="17"/>
  <c r="G164" i="17"/>
  <c r="G165" i="17"/>
  <c r="D165" i="17"/>
  <c r="H153" i="17"/>
  <c r="AC38" i="8"/>
  <c r="AG38" i="8"/>
  <c r="D166" i="17"/>
  <c r="G166" i="17"/>
  <c r="D167" i="17"/>
  <c r="G167" i="17"/>
  <c r="G168" i="17"/>
  <c r="D168" i="17"/>
  <c r="G169" i="17"/>
  <c r="D169" i="17"/>
  <c r="G170" i="17"/>
  <c r="D170" i="17"/>
  <c r="G171" i="17"/>
  <c r="D171" i="17"/>
  <c r="D172" i="17"/>
  <c r="G172" i="17"/>
  <c r="G173" i="17"/>
  <c r="D173" i="17"/>
  <c r="D174" i="17"/>
  <c r="G174" i="17"/>
  <c r="D175" i="17"/>
  <c r="G175" i="17"/>
  <c r="D176" i="17"/>
  <c r="G176" i="17"/>
  <c r="G177" i="17"/>
  <c r="D177" i="17"/>
  <c r="H165" i="17"/>
  <c r="AC39" i="8"/>
  <c r="AG39" i="8"/>
  <c r="G178" i="17"/>
  <c r="D178" i="17"/>
  <c r="D179" i="17"/>
  <c r="G179" i="17"/>
  <c r="G180" i="17"/>
  <c r="D180" i="17"/>
  <c r="D181" i="17"/>
  <c r="G181" i="17"/>
  <c r="D182" i="17"/>
  <c r="G182" i="17"/>
  <c r="G183" i="17"/>
  <c r="D183" i="17"/>
  <c r="G184" i="17"/>
  <c r="D184" i="17"/>
  <c r="G185" i="17"/>
  <c r="D185" i="17"/>
  <c r="D186" i="17"/>
  <c r="G186" i="17"/>
  <c r="G187" i="17"/>
  <c r="D187" i="17"/>
  <c r="G188" i="17"/>
  <c r="D188" i="17"/>
  <c r="G189" i="17"/>
  <c r="H177" i="17"/>
  <c r="AC40" i="8"/>
  <c r="D189" i="17"/>
  <c r="AG40" i="8"/>
  <c r="G190" i="17"/>
  <c r="D190" i="17"/>
  <c r="G191" i="17"/>
  <c r="D191" i="17"/>
  <c r="D192" i="17"/>
  <c r="G192" i="17"/>
  <c r="G193" i="17"/>
  <c r="D193" i="17"/>
  <c r="G194" i="17"/>
  <c r="D194" i="17"/>
  <c r="G195" i="17"/>
  <c r="D195" i="17"/>
  <c r="D196" i="17"/>
  <c r="G196" i="17"/>
  <c r="D197" i="17"/>
  <c r="G197" i="17"/>
  <c r="G198" i="17"/>
  <c r="D198" i="17"/>
  <c r="D199" i="17"/>
  <c r="G199" i="17"/>
  <c r="G200" i="17"/>
  <c r="D200" i="17"/>
  <c r="H189" i="17"/>
  <c r="AC41" i="8"/>
  <c r="G201" i="17"/>
  <c r="D201" i="17"/>
  <c r="G202" i="17"/>
  <c r="D202" i="17"/>
  <c r="AG41" i="8"/>
  <c r="G203" i="17"/>
  <c r="D203" i="17"/>
  <c r="G204" i="17"/>
  <c r="D204" i="17"/>
  <c r="D205" i="17"/>
  <c r="G205" i="17"/>
  <c r="G206" i="17"/>
  <c r="D206" i="17"/>
  <c r="G207" i="17"/>
  <c r="D207" i="17"/>
  <c r="D208" i="17"/>
  <c r="G208" i="17"/>
  <c r="D209" i="17"/>
  <c r="G209" i="17"/>
  <c r="G210" i="17"/>
  <c r="D210" i="17"/>
  <c r="G211" i="17"/>
  <c r="D211" i="17"/>
  <c r="G212" i="17"/>
  <c r="D212" i="17"/>
  <c r="G213" i="17"/>
  <c r="D213" i="17"/>
  <c r="H201" i="17"/>
  <c r="AC42" i="8"/>
  <c r="AG42" i="8"/>
  <c r="D214" i="17"/>
  <c r="G214" i="17"/>
  <c r="G215" i="17"/>
  <c r="D215" i="17"/>
  <c r="D216" i="17"/>
  <c r="G216" i="17"/>
  <c r="D217" i="17"/>
  <c r="G217" i="17"/>
  <c r="D218" i="17"/>
  <c r="G218" i="17"/>
  <c r="D219" i="17"/>
  <c r="G219" i="17"/>
  <c r="G220" i="17"/>
  <c r="D220" i="17"/>
  <c r="G221" i="17"/>
  <c r="D221" i="17"/>
  <c r="G222" i="17"/>
  <c r="D222" i="17"/>
  <c r="G223" i="17"/>
  <c r="D223" i="17"/>
  <c r="G224" i="17"/>
  <c r="D224" i="17"/>
  <c r="G225" i="17"/>
  <c r="D225" i="17"/>
  <c r="H213" i="17"/>
  <c r="AC43" i="8"/>
  <c r="AG43" i="8"/>
  <c r="G226" i="17"/>
  <c r="D226" i="17"/>
  <c r="D227" i="17"/>
  <c r="G227" i="17"/>
  <c r="D228" i="17"/>
  <c r="G228" i="17"/>
  <c r="G229" i="17"/>
  <c r="D229" i="17"/>
  <c r="D230" i="17"/>
  <c r="G230" i="17"/>
  <c r="G231" i="17"/>
  <c r="D231" i="17"/>
  <c r="D232" i="17"/>
  <c r="G232" i="17"/>
  <c r="D233" i="17"/>
  <c r="G233" i="17"/>
  <c r="D234" i="17"/>
  <c r="G234" i="17"/>
  <c r="G235" i="17"/>
  <c r="D235" i="17"/>
  <c r="D236" i="17"/>
  <c r="G236" i="17"/>
  <c r="D237" i="17"/>
  <c r="G237" i="17"/>
  <c r="H225" i="17"/>
  <c r="AC44" i="8"/>
  <c r="AG44" i="8"/>
  <c r="D238" i="17"/>
  <c r="G238" i="17"/>
  <c r="D239" i="17"/>
  <c r="G239" i="17"/>
  <c r="G240" i="17"/>
  <c r="D240" i="17"/>
  <c r="G241" i="17"/>
  <c r="D241" i="17"/>
  <c r="D242" i="17"/>
  <c r="G242" i="17"/>
  <c r="G243" i="17"/>
  <c r="D243" i="17"/>
  <c r="D244" i="17"/>
  <c r="G244" i="17"/>
  <c r="G245" i="17"/>
  <c r="D245" i="17"/>
  <c r="G246" i="17"/>
  <c r="D246" i="17"/>
  <c r="G247" i="17"/>
  <c r="D247" i="17"/>
  <c r="D248" i="17"/>
  <c r="G248" i="17"/>
  <c r="G249" i="17"/>
  <c r="H237" i="17"/>
  <c r="AC45" i="8"/>
  <c r="D249" i="17"/>
  <c r="AG45" i="8"/>
  <c r="D250" i="17"/>
  <c r="G250" i="17"/>
  <c r="G251" i="17"/>
  <c r="D251" i="17"/>
  <c r="G252" i="17"/>
  <c r="D252" i="17"/>
  <c r="G253" i="17"/>
  <c r="D253" i="17"/>
  <c r="G254" i="17"/>
  <c r="D254" i="17"/>
  <c r="G255" i="17"/>
  <c r="D255" i="17"/>
  <c r="G256" i="17"/>
  <c r="D256" i="17"/>
  <c r="G257" i="17"/>
  <c r="D257" i="17"/>
  <c r="G258" i="17"/>
  <c r="D258" i="17"/>
  <c r="G259" i="17"/>
  <c r="D259" i="17"/>
  <c r="D260" i="17"/>
  <c r="G260" i="17"/>
  <c r="H249" i="17"/>
  <c r="AC46" i="8"/>
  <c r="D261" i="17"/>
  <c r="G261" i="17"/>
  <c r="G262" i="17"/>
  <c r="D262" i="17"/>
  <c r="AG46" i="8"/>
  <c r="D263" i="17"/>
  <c r="G263" i="17"/>
  <c r="D264" i="17"/>
  <c r="G264" i="17"/>
  <c r="G265" i="17"/>
  <c r="D265" i="17"/>
  <c r="D266" i="17"/>
  <c r="G266" i="17"/>
  <c r="D267" i="17"/>
  <c r="G267" i="17"/>
  <c r="D268" i="17"/>
  <c r="G268" i="17"/>
  <c r="G269" i="17"/>
  <c r="D269" i="17"/>
  <c r="D270" i="17"/>
  <c r="G270" i="17"/>
  <c r="D271" i="17"/>
  <c r="G271" i="17"/>
  <c r="D272" i="17"/>
  <c r="G272" i="17"/>
  <c r="G273" i="17"/>
  <c r="H261" i="17"/>
  <c r="AC47" i="8"/>
  <c r="D273" i="17"/>
  <c r="AG47" i="8"/>
  <c r="D274" i="17"/>
  <c r="G274" i="17"/>
  <c r="G275" i="17"/>
  <c r="D275" i="17"/>
  <c r="D276" i="17"/>
  <c r="G276" i="17"/>
  <c r="D277" i="17"/>
  <c r="G277" i="17"/>
  <c r="G278" i="17"/>
  <c r="D278" i="17"/>
  <c r="G279" i="17"/>
  <c r="D279" i="17"/>
  <c r="D280" i="17"/>
  <c r="G280" i="17"/>
  <c r="G281" i="17"/>
  <c r="D281" i="17"/>
  <c r="G282" i="17"/>
  <c r="D282" i="17"/>
  <c r="D283" i="17"/>
  <c r="G283" i="17"/>
  <c r="D284" i="17"/>
  <c r="G284" i="17"/>
  <c r="D285" i="17"/>
  <c r="G285" i="17"/>
  <c r="H273" i="17"/>
  <c r="AC48" i="8"/>
  <c r="D286" i="17"/>
  <c r="G286" i="17"/>
  <c r="AG48" i="8"/>
  <c r="D287" i="17"/>
  <c r="G287" i="17"/>
  <c r="G288" i="17"/>
  <c r="D288" i="17"/>
  <c r="G289" i="17"/>
  <c r="D289" i="17"/>
  <c r="G290" i="17"/>
  <c r="D290" i="17"/>
  <c r="D291" i="17"/>
  <c r="G291" i="17"/>
  <c r="D292" i="17"/>
  <c r="G292" i="17"/>
  <c r="G293" i="17"/>
  <c r="D293" i="17"/>
  <c r="G294" i="17"/>
  <c r="D294" i="17"/>
  <c r="D295" i="17"/>
  <c r="G295" i="17"/>
  <c r="G296" i="17"/>
  <c r="D296" i="17"/>
  <c r="D297" i="17"/>
  <c r="H285" i="17"/>
  <c r="AC49" i="8"/>
  <c r="G297" i="17"/>
  <c r="AG49" i="8"/>
  <c r="D298" i="17"/>
  <c r="G298" i="17"/>
  <c r="D299" i="17"/>
  <c r="G299" i="17"/>
  <c r="G300" i="17"/>
  <c r="D300" i="17"/>
  <c r="G301" i="17"/>
  <c r="D301" i="17"/>
  <c r="D302" i="17"/>
  <c r="G302" i="17"/>
  <c r="D303" i="17"/>
  <c r="G303" i="17"/>
  <c r="G304" i="17"/>
  <c r="D304" i="17"/>
  <c r="G305" i="17"/>
  <c r="D305" i="17"/>
  <c r="D306" i="17"/>
  <c r="G306" i="17"/>
  <c r="D307" i="17"/>
  <c r="G307" i="17"/>
  <c r="G308" i="17"/>
  <c r="H297" i="17"/>
  <c r="AC50" i="8"/>
  <c r="D308" i="17"/>
  <c r="AG50" i="8"/>
  <c r="E37" i="11"/>
  <c r="N35" i="11"/>
  <c r="D38" i="11"/>
  <c r="AB5" i="11"/>
  <c r="AB37" i="11"/>
  <c r="AA6" i="11"/>
  <c r="E10" i="11"/>
  <c r="T36" i="11"/>
  <c r="D11" i="11"/>
  <c r="AB4" i="11"/>
  <c r="AB36" i="11"/>
  <c r="AB30" i="8"/>
  <c r="AD3" i="11"/>
  <c r="AG3" i="11"/>
  <c r="F9" i="11"/>
  <c r="F10" i="11"/>
  <c r="F37" i="11"/>
  <c r="F38" i="11"/>
  <c r="F39" i="11"/>
  <c r="F40" i="11"/>
  <c r="AC4" i="11"/>
  <c r="AB6" i="11"/>
  <c r="AA7" i="11"/>
  <c r="AB38" i="11"/>
  <c r="N36" i="11"/>
  <c r="D39" i="11"/>
  <c r="E38" i="11"/>
  <c r="D12" i="11"/>
  <c r="E11" i="11"/>
  <c r="T37" i="11"/>
  <c r="G10" i="11"/>
  <c r="J10" i="11"/>
  <c r="F11" i="11"/>
  <c r="G40" i="11"/>
  <c r="F41" i="11"/>
  <c r="AD4" i="11"/>
  <c r="AG4" i="11"/>
  <c r="AC5" i="11"/>
  <c r="G38" i="11"/>
  <c r="G37" i="11"/>
  <c r="J37" i="11"/>
  <c r="O35" i="11"/>
  <c r="Q35" i="11"/>
  <c r="AC35" i="11"/>
  <c r="AE35" i="11"/>
  <c r="G9" i="11"/>
  <c r="J9" i="11"/>
  <c r="G39" i="11"/>
  <c r="J38" i="11"/>
  <c r="R36" i="11"/>
  <c r="AA8" i="11"/>
  <c r="AB7" i="11"/>
  <c r="AB39" i="11"/>
  <c r="T38" i="11"/>
  <c r="D13" i="11"/>
  <c r="E12" i="11"/>
  <c r="E39" i="11"/>
  <c r="N37" i="11"/>
  <c r="D40" i="11"/>
  <c r="AD5" i="11"/>
  <c r="AG5" i="11"/>
  <c r="AC6" i="11"/>
  <c r="T26" i="8"/>
  <c r="X35" i="11"/>
  <c r="K9" i="11"/>
  <c r="U35" i="11"/>
  <c r="W35" i="11"/>
  <c r="AF36" i="11"/>
  <c r="N27" i="8"/>
  <c r="P27" i="8"/>
  <c r="G41" i="11"/>
  <c r="F42" i="11"/>
  <c r="K10" i="11"/>
  <c r="X36" i="11"/>
  <c r="T27" i="8"/>
  <c r="G11" i="11"/>
  <c r="J11" i="11"/>
  <c r="F12" i="11"/>
  <c r="AF35" i="11"/>
  <c r="N26" i="8"/>
  <c r="P26" i="8"/>
  <c r="R35" i="11"/>
  <c r="AC36" i="11"/>
  <c r="AE36" i="11"/>
  <c r="O37" i="11"/>
  <c r="O36" i="11"/>
  <c r="Q36" i="11"/>
  <c r="O38" i="11"/>
  <c r="U36" i="11"/>
  <c r="W36" i="11"/>
  <c r="U37" i="11"/>
  <c r="W37" i="11"/>
  <c r="J39" i="11"/>
  <c r="AF37" i="11"/>
  <c r="N28" i="8"/>
  <c r="P28" i="8"/>
  <c r="Q37" i="11"/>
  <c r="R37" i="11"/>
  <c r="E40" i="11"/>
  <c r="J40" i="11"/>
  <c r="D41" i="11"/>
  <c r="E13" i="11"/>
  <c r="D14" i="11"/>
  <c r="T39" i="11"/>
  <c r="AA9" i="11"/>
  <c r="AB8" i="11"/>
  <c r="AB40" i="11"/>
  <c r="G42" i="11"/>
  <c r="O40" i="11"/>
  <c r="F43" i="11"/>
  <c r="AD6" i="11"/>
  <c r="AG6" i="11"/>
  <c r="AC38" i="11"/>
  <c r="AE38" i="11"/>
  <c r="AC7" i="11"/>
  <c r="G12" i="11"/>
  <c r="J12" i="11"/>
  <c r="F13" i="11"/>
  <c r="O39" i="11"/>
  <c r="K11" i="11"/>
  <c r="X37" i="11"/>
  <c r="T28" i="8"/>
  <c r="AC37" i="11"/>
  <c r="AE37" i="11"/>
  <c r="N38" i="11"/>
  <c r="Q38" i="11"/>
  <c r="AB9" i="11"/>
  <c r="AB41" i="11"/>
  <c r="AA10" i="11"/>
  <c r="R38" i="11"/>
  <c r="AF38" i="11"/>
  <c r="N29" i="8"/>
  <c r="P29" i="8"/>
  <c r="D15" i="11"/>
  <c r="E14" i="11"/>
  <c r="T40" i="11"/>
  <c r="E41" i="11"/>
  <c r="J41" i="11"/>
  <c r="D42" i="11"/>
  <c r="AD7" i="11"/>
  <c r="AG7" i="11"/>
  <c r="AC8" i="11"/>
  <c r="O41" i="11"/>
  <c r="G43" i="11"/>
  <c r="F44" i="11"/>
  <c r="G13" i="11"/>
  <c r="J13" i="11"/>
  <c r="F14" i="11"/>
  <c r="T29" i="8"/>
  <c r="K12" i="11"/>
  <c r="X38" i="11"/>
  <c r="U38" i="11"/>
  <c r="W38" i="11"/>
  <c r="N39" i="11"/>
  <c r="Q39" i="11"/>
  <c r="E42" i="11"/>
  <c r="J42" i="11"/>
  <c r="D43" i="11"/>
  <c r="N40" i="11"/>
  <c r="Q40" i="11"/>
  <c r="R39" i="11"/>
  <c r="AF39" i="11"/>
  <c r="N30" i="8"/>
  <c r="P30" i="8"/>
  <c r="T41" i="11"/>
  <c r="D16" i="11"/>
  <c r="E15" i="11"/>
  <c r="AB42" i="11"/>
  <c r="AA11" i="11"/>
  <c r="AB10" i="11"/>
  <c r="T30" i="8"/>
  <c r="X39" i="11"/>
  <c r="K13" i="11"/>
  <c r="AC40" i="11"/>
  <c r="AE40" i="11"/>
  <c r="AD8" i="11"/>
  <c r="AG8" i="11"/>
  <c r="AC9" i="11"/>
  <c r="U39" i="11"/>
  <c r="W39" i="11"/>
  <c r="O42" i="11"/>
  <c r="G44" i="11"/>
  <c r="F45" i="11"/>
  <c r="G14" i="11"/>
  <c r="J14" i="11"/>
  <c r="U40" i="11"/>
  <c r="W40" i="11"/>
  <c r="F15" i="11"/>
  <c r="AC39" i="11"/>
  <c r="AE39" i="11"/>
  <c r="D44" i="11"/>
  <c r="E43" i="11"/>
  <c r="J43" i="11"/>
  <c r="N41" i="11"/>
  <c r="Q41" i="11"/>
  <c r="E16" i="11"/>
  <c r="T42" i="11"/>
  <c r="D17" i="11"/>
  <c r="AF40" i="11"/>
  <c r="N31" i="8"/>
  <c r="P31" i="8"/>
  <c r="R40" i="11"/>
  <c r="AB43" i="11"/>
  <c r="AB11" i="11"/>
  <c r="AA12" i="11"/>
  <c r="T31" i="8"/>
  <c r="K14" i="11"/>
  <c r="X40" i="11"/>
  <c r="G45" i="11"/>
  <c r="O43" i="11"/>
  <c r="F46" i="11"/>
  <c r="AD9" i="11"/>
  <c r="AG9" i="11"/>
  <c r="AC10" i="11"/>
  <c r="G15" i="11"/>
  <c r="J15" i="11"/>
  <c r="F16" i="11"/>
  <c r="AB44" i="11"/>
  <c r="AA13" i="11"/>
  <c r="AB12" i="11"/>
  <c r="E17" i="11"/>
  <c r="D18" i="11"/>
  <c r="T43" i="11"/>
  <c r="AF41" i="11"/>
  <c r="N32" i="8"/>
  <c r="P32" i="8"/>
  <c r="R41" i="11"/>
  <c r="N42" i="11"/>
  <c r="Q42" i="11"/>
  <c r="E44" i="11"/>
  <c r="J44" i="11"/>
  <c r="D45" i="11"/>
  <c r="O44" i="11"/>
  <c r="G46" i="11"/>
  <c r="F47" i="11"/>
  <c r="G16" i="11"/>
  <c r="J16" i="11"/>
  <c r="U42" i="11"/>
  <c r="W42" i="11"/>
  <c r="F17" i="11"/>
  <c r="AD10" i="11"/>
  <c r="AG10" i="11"/>
  <c r="AC11" i="11"/>
  <c r="AC42" i="11"/>
  <c r="AE42" i="11"/>
  <c r="X41" i="11"/>
  <c r="K15" i="11"/>
  <c r="T32" i="8"/>
  <c r="U41" i="11"/>
  <c r="W41" i="11"/>
  <c r="AC41" i="11"/>
  <c r="AE41" i="11"/>
  <c r="R42" i="11"/>
  <c r="AF42" i="11"/>
  <c r="N33" i="8"/>
  <c r="P33" i="8"/>
  <c r="AB13" i="11"/>
  <c r="AA14" i="11"/>
  <c r="AB45" i="11"/>
  <c r="E18" i="11"/>
  <c r="D19" i="11"/>
  <c r="T44" i="11"/>
  <c r="E45" i="11"/>
  <c r="J45" i="11"/>
  <c r="D46" i="11"/>
  <c r="N43" i="11"/>
  <c r="Q43" i="11"/>
  <c r="G17" i="11"/>
  <c r="J17" i="11"/>
  <c r="F18" i="11"/>
  <c r="AD11" i="11"/>
  <c r="AG11" i="11"/>
  <c r="AC12" i="11"/>
  <c r="T33" i="8"/>
  <c r="K16" i="11"/>
  <c r="X42" i="11"/>
  <c r="G47" i="11"/>
  <c r="O45" i="11"/>
  <c r="F48" i="11"/>
  <c r="AC43" i="11"/>
  <c r="AE43" i="11"/>
  <c r="U43" i="11"/>
  <c r="W43" i="11"/>
  <c r="D47" i="11"/>
  <c r="E46" i="11"/>
  <c r="J46" i="11"/>
  <c r="N44" i="11"/>
  <c r="Q44" i="11"/>
  <c r="AF43" i="11"/>
  <c r="N34" i="8"/>
  <c r="P34" i="8"/>
  <c r="R43" i="11"/>
  <c r="D20" i="11"/>
  <c r="E19" i="11"/>
  <c r="T45" i="11"/>
  <c r="AB46" i="11"/>
  <c r="AA15" i="11"/>
  <c r="AB14" i="11"/>
  <c r="G18" i="11"/>
  <c r="J18" i="11"/>
  <c r="F19" i="11"/>
  <c r="G48" i="11"/>
  <c r="O46" i="11"/>
  <c r="F49" i="11"/>
  <c r="X43" i="11"/>
  <c r="K17" i="11"/>
  <c r="T34" i="8"/>
  <c r="AD12" i="11"/>
  <c r="AG12" i="11"/>
  <c r="AC13" i="11"/>
  <c r="AC44" i="11"/>
  <c r="AE44" i="11"/>
  <c r="U44" i="11"/>
  <c r="W44" i="11"/>
  <c r="AB47" i="11"/>
  <c r="AA16" i="11"/>
  <c r="AB15" i="11"/>
  <c r="T46" i="11"/>
  <c r="E20" i="11"/>
  <c r="D21" i="11"/>
  <c r="AF44" i="11"/>
  <c r="N35" i="8"/>
  <c r="P35" i="8"/>
  <c r="R44" i="11"/>
  <c r="N45" i="11"/>
  <c r="Q45" i="11"/>
  <c r="E47" i="11"/>
  <c r="J47" i="11"/>
  <c r="D48" i="11"/>
  <c r="K18" i="11"/>
  <c r="T35" i="8"/>
  <c r="X44" i="11"/>
  <c r="AD13" i="11"/>
  <c r="AG13" i="11"/>
  <c r="AC45" i="11"/>
  <c r="AE45" i="11"/>
  <c r="AC14" i="11"/>
  <c r="G49" i="11"/>
  <c r="O47" i="11"/>
  <c r="F50" i="11"/>
  <c r="G19" i="11"/>
  <c r="J19" i="11"/>
  <c r="F20" i="11"/>
  <c r="U45" i="11"/>
  <c r="W45" i="11"/>
  <c r="AF45" i="11"/>
  <c r="N36" i="8"/>
  <c r="P36" i="8"/>
  <c r="R45" i="11"/>
  <c r="E21" i="11"/>
  <c r="D22" i="11"/>
  <c r="T47" i="11"/>
  <c r="AB48" i="11"/>
  <c r="AA17" i="11"/>
  <c r="AB16" i="11"/>
  <c r="E48" i="11"/>
  <c r="J48" i="11"/>
  <c r="D49" i="11"/>
  <c r="N46" i="11"/>
  <c r="Q46" i="11"/>
  <c r="AD14" i="11"/>
  <c r="AG14" i="11"/>
  <c r="AC15" i="11"/>
  <c r="G20" i="11"/>
  <c r="J20" i="11"/>
  <c r="F21" i="11"/>
  <c r="X45" i="11"/>
  <c r="K19" i="11"/>
  <c r="T36" i="8"/>
  <c r="G50" i="11"/>
  <c r="O48" i="11"/>
  <c r="F51" i="11"/>
  <c r="U46" i="11"/>
  <c r="W46" i="11"/>
  <c r="AC46" i="11"/>
  <c r="AE46" i="11"/>
  <c r="E49" i="11"/>
  <c r="J49" i="11"/>
  <c r="N47" i="11"/>
  <c r="Q47" i="11"/>
  <c r="D50" i="11"/>
  <c r="AB49" i="11"/>
  <c r="AA18" i="11"/>
  <c r="AB17" i="11"/>
  <c r="R46" i="11"/>
  <c r="AF46" i="11"/>
  <c r="N37" i="8"/>
  <c r="P37" i="8"/>
  <c r="T48" i="11"/>
  <c r="D23" i="11"/>
  <c r="E22" i="11"/>
  <c r="T37" i="8"/>
  <c r="X46" i="11"/>
  <c r="K20" i="11"/>
  <c r="AD15" i="11"/>
  <c r="AG15" i="11"/>
  <c r="AC16" i="11"/>
  <c r="G51" i="11"/>
  <c r="O49" i="11"/>
  <c r="F52" i="11"/>
  <c r="G21" i="11"/>
  <c r="J21" i="11"/>
  <c r="F22" i="11"/>
  <c r="AC47" i="11"/>
  <c r="AE47" i="11"/>
  <c r="U47" i="11"/>
  <c r="W47" i="11"/>
  <c r="T49" i="11"/>
  <c r="E23" i="11"/>
  <c r="D24" i="11"/>
  <c r="D51" i="11"/>
  <c r="E50" i="11"/>
  <c r="J50" i="11"/>
  <c r="N48" i="11"/>
  <c r="Q48" i="11"/>
  <c r="AA19" i="11"/>
  <c r="AB50" i="11"/>
  <c r="AB18" i="11"/>
  <c r="R47" i="11"/>
  <c r="AF47" i="11"/>
  <c r="N38" i="8"/>
  <c r="P38" i="8"/>
  <c r="T38" i="8"/>
  <c r="K21" i="11"/>
  <c r="X47" i="11"/>
  <c r="AD16" i="11"/>
  <c r="AG16" i="11"/>
  <c r="AC48" i="11"/>
  <c r="AE48" i="11"/>
  <c r="AC17" i="11"/>
  <c r="G52" i="11"/>
  <c r="O50" i="11"/>
  <c r="F53" i="11"/>
  <c r="G22" i="11"/>
  <c r="J22" i="11"/>
  <c r="F23" i="11"/>
  <c r="U48" i="11"/>
  <c r="W48" i="11"/>
  <c r="N49" i="11"/>
  <c r="Q49" i="11"/>
  <c r="D52" i="11"/>
  <c r="E51" i="11"/>
  <c r="J51" i="11"/>
  <c r="E24" i="11"/>
  <c r="T50" i="11"/>
  <c r="D25" i="11"/>
  <c r="AB51" i="11"/>
  <c r="AB19" i="11"/>
  <c r="AA20" i="11"/>
  <c r="AF48" i="11"/>
  <c r="N39" i="8"/>
  <c r="P39" i="8"/>
  <c r="R48" i="11"/>
  <c r="K22" i="11"/>
  <c r="T39" i="8"/>
  <c r="X48" i="11"/>
  <c r="AD17" i="11"/>
  <c r="AG17" i="11"/>
  <c r="AC18" i="11"/>
  <c r="O51" i="11"/>
  <c r="G53" i="11"/>
  <c r="F54" i="11"/>
  <c r="G23" i="11"/>
  <c r="J23" i="11"/>
  <c r="F24" i="11"/>
  <c r="AC49" i="11"/>
  <c r="AE49" i="11"/>
  <c r="U49" i="11"/>
  <c r="W49" i="11"/>
  <c r="AB52" i="11"/>
  <c r="AA21" i="11"/>
  <c r="AB20" i="11"/>
  <c r="AF49" i="11"/>
  <c r="N40" i="8"/>
  <c r="P40" i="8"/>
  <c r="R49" i="11"/>
  <c r="D26" i="11"/>
  <c r="E25" i="11"/>
  <c r="T51" i="11"/>
  <c r="E52" i="11"/>
  <c r="J52" i="11"/>
  <c r="N50" i="11"/>
  <c r="Q50" i="11"/>
  <c r="D53" i="11"/>
  <c r="G24" i="11"/>
  <c r="J24" i="11"/>
  <c r="F25" i="11"/>
  <c r="X49" i="11"/>
  <c r="K23" i="11"/>
  <c r="T40" i="8"/>
  <c r="AD18" i="11"/>
  <c r="AG18" i="11"/>
  <c r="AC19" i="11"/>
  <c r="G54" i="11"/>
  <c r="O52" i="11"/>
  <c r="F55" i="11"/>
  <c r="AC50" i="11"/>
  <c r="AE50" i="11"/>
  <c r="U50" i="11"/>
  <c r="W50" i="11"/>
  <c r="D27" i="11"/>
  <c r="E26" i="11"/>
  <c r="T52" i="11"/>
  <c r="AB21" i="11"/>
  <c r="AA22" i="11"/>
  <c r="AB53" i="11"/>
  <c r="R50" i="11"/>
  <c r="AF50" i="11"/>
  <c r="N41" i="8"/>
  <c r="P41" i="8"/>
  <c r="E53" i="11"/>
  <c r="J53" i="11"/>
  <c r="N51" i="11"/>
  <c r="Q51" i="11"/>
  <c r="D54" i="11"/>
  <c r="AD19" i="11"/>
  <c r="AG19" i="11"/>
  <c r="AC20" i="11"/>
  <c r="G25" i="11"/>
  <c r="J25" i="11"/>
  <c r="F26" i="11"/>
  <c r="G55" i="11"/>
  <c r="F56" i="11"/>
  <c r="O53" i="11"/>
  <c r="X50" i="11"/>
  <c r="K24" i="11"/>
  <c r="T41" i="8"/>
  <c r="AC51" i="11"/>
  <c r="AE51" i="11"/>
  <c r="U51" i="11"/>
  <c r="W51" i="11"/>
  <c r="R51" i="11"/>
  <c r="AF51" i="11"/>
  <c r="N42" i="8"/>
  <c r="P42" i="8"/>
  <c r="D55" i="11"/>
  <c r="E54" i="11"/>
  <c r="J54" i="11"/>
  <c r="N52" i="11"/>
  <c r="Q52" i="11"/>
  <c r="AB22" i="11"/>
  <c r="AB54" i="11"/>
  <c r="AA23" i="11"/>
  <c r="E27" i="11"/>
  <c r="D28" i="11"/>
  <c r="T53" i="11"/>
  <c r="G56" i="11"/>
  <c r="O54" i="11"/>
  <c r="F57" i="11"/>
  <c r="X51" i="11"/>
  <c r="K25" i="11"/>
  <c r="T42" i="8"/>
  <c r="U52" i="11"/>
  <c r="W52" i="11"/>
  <c r="F27" i="11"/>
  <c r="G26" i="11"/>
  <c r="J26" i="11"/>
  <c r="AC52" i="11"/>
  <c r="AE52" i="11"/>
  <c r="AC21" i="11"/>
  <c r="AD20" i="11"/>
  <c r="AG20" i="11"/>
  <c r="T54" i="11"/>
  <c r="D29" i="11"/>
  <c r="E28" i="11"/>
  <c r="AB55" i="11"/>
  <c r="AA24" i="11"/>
  <c r="AB23" i="11"/>
  <c r="R52" i="11"/>
  <c r="AF52" i="11"/>
  <c r="N43" i="8"/>
  <c r="P43" i="8"/>
  <c r="E55" i="11"/>
  <c r="J55" i="11"/>
  <c r="N53" i="11"/>
  <c r="Q53" i="11"/>
  <c r="D56" i="11"/>
  <c r="U53" i="11"/>
  <c r="W53" i="11"/>
  <c r="G27" i="11"/>
  <c r="J27" i="11"/>
  <c r="F28" i="11"/>
  <c r="G57" i="11"/>
  <c r="O55" i="11"/>
  <c r="F58" i="11"/>
  <c r="X52" i="11"/>
  <c r="T43" i="8"/>
  <c r="K26" i="11"/>
  <c r="AD21" i="11"/>
  <c r="AG21" i="11"/>
  <c r="AC53" i="11"/>
  <c r="AE53" i="11"/>
  <c r="AC22" i="11"/>
  <c r="AB24" i="11"/>
  <c r="AB56" i="11"/>
  <c r="AA25" i="11"/>
  <c r="D30" i="11"/>
  <c r="E29" i="11"/>
  <c r="T55" i="11"/>
  <c r="AF53" i="11"/>
  <c r="N44" i="8"/>
  <c r="P44" i="8"/>
  <c r="R53" i="11"/>
  <c r="D57" i="11"/>
  <c r="N54" i="11"/>
  <c r="Q54" i="11"/>
  <c r="E56" i="11"/>
  <c r="J56" i="11"/>
  <c r="U54" i="11"/>
  <c r="W54" i="11"/>
  <c r="G28" i="11"/>
  <c r="J28" i="11"/>
  <c r="F29" i="11"/>
  <c r="G58" i="11"/>
  <c r="F59" i="11"/>
  <c r="O56" i="11"/>
  <c r="T44" i="8"/>
  <c r="X53" i="11"/>
  <c r="K27" i="11"/>
  <c r="AD22" i="11"/>
  <c r="AG22" i="11"/>
  <c r="AC23" i="11"/>
  <c r="AC54" i="11"/>
  <c r="AE54" i="11"/>
  <c r="N55" i="11"/>
  <c r="Q55" i="11"/>
  <c r="D58" i="11"/>
  <c r="E57" i="11"/>
  <c r="J57" i="11"/>
  <c r="D31" i="11"/>
  <c r="T56" i="11"/>
  <c r="E30" i="11"/>
  <c r="AB57" i="11"/>
  <c r="AA26" i="11"/>
  <c r="AB25" i="11"/>
  <c r="AF54" i="11"/>
  <c r="N45" i="8"/>
  <c r="P45" i="8"/>
  <c r="R54" i="11"/>
  <c r="O57" i="11"/>
  <c r="G59" i="11"/>
  <c r="F60" i="11"/>
  <c r="G29" i="11"/>
  <c r="J29" i="11"/>
  <c r="U55" i="11"/>
  <c r="W55" i="11"/>
  <c r="F30" i="11"/>
  <c r="AC55" i="11"/>
  <c r="AE55" i="11"/>
  <c r="AD23" i="11"/>
  <c r="AG23" i="11"/>
  <c r="AC24" i="11"/>
  <c r="T45" i="8"/>
  <c r="X54" i="11"/>
  <c r="K28" i="11"/>
  <c r="E58" i="11"/>
  <c r="J58" i="11"/>
  <c r="D59" i="11"/>
  <c r="N56" i="11"/>
  <c r="Q56" i="11"/>
  <c r="E31" i="11"/>
  <c r="D32" i="11"/>
  <c r="T57" i="11"/>
  <c r="R55" i="11"/>
  <c r="AF55" i="11"/>
  <c r="N46" i="8"/>
  <c r="P46" i="8"/>
  <c r="AB58" i="11"/>
  <c r="AB26" i="11"/>
  <c r="AA27" i="11"/>
  <c r="U56" i="11"/>
  <c r="W56" i="11"/>
  <c r="G30" i="11"/>
  <c r="J30" i="11"/>
  <c r="F31" i="11"/>
  <c r="AD24" i="11"/>
  <c r="AG24" i="11"/>
  <c r="AC56" i="11"/>
  <c r="AE56" i="11"/>
  <c r="AC25" i="11"/>
  <c r="F61" i="11"/>
  <c r="O58" i="11"/>
  <c r="G60" i="11"/>
  <c r="T46" i="8"/>
  <c r="X55" i="11"/>
  <c r="D33" i="11"/>
  <c r="T58" i="11"/>
  <c r="E32" i="11"/>
  <c r="AF56" i="11"/>
  <c r="N47" i="8"/>
  <c r="P47" i="8"/>
  <c r="R56" i="11"/>
  <c r="AB27" i="11"/>
  <c r="AB59" i="11"/>
  <c r="AA28" i="11"/>
  <c r="N57" i="11"/>
  <c r="Q57" i="11"/>
  <c r="E59" i="11"/>
  <c r="J59" i="11"/>
  <c r="D60" i="11"/>
  <c r="O59" i="11"/>
  <c r="G61" i="11"/>
  <c r="F62" i="11"/>
  <c r="AD25" i="11"/>
  <c r="AG25" i="11"/>
  <c r="AC26" i="11"/>
  <c r="AC57" i="11"/>
  <c r="AE57" i="11"/>
  <c r="X56" i="11"/>
  <c r="T47" i="8"/>
  <c r="U57" i="11"/>
  <c r="W57" i="11"/>
  <c r="F32" i="11"/>
  <c r="G31" i="11"/>
  <c r="J31" i="11"/>
  <c r="AB28" i="11"/>
  <c r="AA29" i="11"/>
  <c r="AB60" i="11"/>
  <c r="N58" i="11"/>
  <c r="Q58" i="11"/>
  <c r="E60" i="11"/>
  <c r="J60" i="11"/>
  <c r="D61" i="11"/>
  <c r="T59" i="11"/>
  <c r="E33" i="11"/>
  <c r="R57" i="11"/>
  <c r="AF57" i="11"/>
  <c r="N48" i="8"/>
  <c r="P48" i="8"/>
  <c r="F63" i="11"/>
  <c r="G62" i="11"/>
  <c r="O60" i="11"/>
  <c r="T48" i="8"/>
  <c r="X57" i="11"/>
  <c r="G32" i="11"/>
  <c r="J32" i="11"/>
  <c r="F33" i="11"/>
  <c r="U58" i="11"/>
  <c r="W58" i="11"/>
  <c r="AD26" i="11"/>
  <c r="AG26" i="11"/>
  <c r="AC58" i="11"/>
  <c r="AE58" i="11"/>
  <c r="AC27" i="11"/>
  <c r="D62" i="11"/>
  <c r="N59" i="11"/>
  <c r="Q59" i="11"/>
  <c r="E61" i="11"/>
  <c r="J61" i="11"/>
  <c r="AB61" i="11"/>
  <c r="AA30" i="11"/>
  <c r="AB29" i="11"/>
  <c r="AF58" i="11"/>
  <c r="N49" i="8"/>
  <c r="P49" i="8"/>
  <c r="R58" i="11"/>
  <c r="F64" i="11"/>
  <c r="G63" i="11"/>
  <c r="AD27" i="11"/>
  <c r="AG27" i="11"/>
  <c r="AC28" i="11"/>
  <c r="AC59" i="11"/>
  <c r="AE59" i="11"/>
  <c r="G33" i="11"/>
  <c r="J33" i="11"/>
  <c r="U59" i="11"/>
  <c r="W59" i="11"/>
  <c r="X58" i="11"/>
  <c r="T49" i="8"/>
  <c r="AF59" i="11"/>
  <c r="N50" i="8"/>
  <c r="P50" i="8"/>
  <c r="R59" i="11"/>
  <c r="AB30" i="11"/>
  <c r="AA31" i="11"/>
  <c r="AB31" i="11"/>
  <c r="N60" i="11"/>
  <c r="Q60" i="11"/>
  <c r="E62" i="11"/>
  <c r="J62" i="11"/>
  <c r="D63" i="11"/>
  <c r="AD28" i="11"/>
  <c r="AG28" i="11"/>
  <c r="AC60" i="11"/>
  <c r="AE60" i="11"/>
  <c r="AC29" i="11"/>
  <c r="X59" i="11"/>
  <c r="T50" i="8"/>
  <c r="F65" i="11"/>
  <c r="G65" i="11"/>
  <c r="G64" i="11"/>
  <c r="E63" i="11"/>
  <c r="J63" i="11"/>
  <c r="AF61" i="11"/>
  <c r="D64" i="11"/>
  <c r="AF60" i="11"/>
  <c r="R60" i="11"/>
  <c r="AD29" i="11"/>
  <c r="AG29" i="11"/>
  <c r="AC61" i="11"/>
  <c r="AE61" i="11"/>
  <c r="AC30" i="11"/>
  <c r="E64" i="11"/>
  <c r="J64" i="11"/>
  <c r="D65" i="11"/>
  <c r="E65" i="11"/>
  <c r="J65" i="11"/>
  <c r="AD30" i="11"/>
  <c r="AG30" i="11"/>
  <c r="AC31" i="11"/>
  <c r="AD31" i="11"/>
  <c r="AG31" i="11"/>
  <c r="AD49" i="8"/>
  <c r="AD41" i="8"/>
  <c r="AD33" i="8"/>
  <c r="AD48" i="8"/>
  <c r="AD37" i="8"/>
  <c r="AD34" i="8"/>
  <c r="AD50" i="8"/>
  <c r="AD44" i="8"/>
  <c r="AD46" i="8"/>
  <c r="AD42" i="8"/>
  <c r="AD35" i="8"/>
  <c r="AD36" i="8"/>
  <c r="AD39" i="8"/>
  <c r="AD40" i="8"/>
  <c r="AD47" i="8"/>
  <c r="AD38" i="8"/>
  <c r="AD45" i="8"/>
  <c r="AD43" i="8"/>
  <c r="AB26" i="8" l="1"/>
  <c r="AI26" i="8" s="1"/>
  <c r="AB28" i="8"/>
  <c r="AI28" i="8" s="1"/>
  <c r="AB29" i="8"/>
  <c r="AB36" i="8"/>
  <c r="AH36" i="8"/>
  <c r="AJ36" i="8" s="1"/>
  <c r="X36" i="8" s="1"/>
  <c r="Y36" i="8" s="1"/>
  <c r="AB41" i="8"/>
  <c r="AH41" i="8"/>
  <c r="AJ41" i="8" s="1"/>
  <c r="AH44" i="8"/>
  <c r="AJ44" i="8" s="1"/>
  <c r="AB44" i="8"/>
  <c r="AH35" i="8"/>
  <c r="AJ35" i="8" s="1"/>
  <c r="X35" i="8" s="1"/>
  <c r="Y35" i="8" s="1"/>
  <c r="AB35" i="8"/>
  <c r="AH37" i="8"/>
  <c r="AJ37" i="8" s="1"/>
  <c r="X37" i="8" s="1"/>
  <c r="Y37" i="8" s="1"/>
  <c r="AB37" i="8"/>
  <c r="AH45" i="8"/>
  <c r="AJ45" i="8" s="1"/>
  <c r="AB45" i="8"/>
  <c r="AB49" i="8"/>
  <c r="AH49" i="8"/>
  <c r="AJ49" i="8" s="1"/>
  <c r="AB47" i="8"/>
  <c r="AH47" i="8"/>
  <c r="AJ47" i="8" s="1"/>
  <c r="AH39" i="8"/>
  <c r="AJ39" i="8" s="1"/>
  <c r="X39" i="8" s="1"/>
  <c r="Y39" i="8" s="1"/>
  <c r="AB39" i="8"/>
  <c r="AH38" i="8"/>
  <c r="AJ38" i="8" s="1"/>
  <c r="X38" i="8" s="1"/>
  <c r="Y38" i="8" s="1"/>
  <c r="AB38" i="8"/>
  <c r="AH50" i="8"/>
  <c r="AJ50" i="8" s="1"/>
  <c r="AB50" i="8"/>
  <c r="AH46" i="8"/>
  <c r="AJ46" i="8" s="1"/>
  <c r="AB46" i="8"/>
  <c r="AH40" i="8"/>
  <c r="AJ40" i="8" s="1"/>
  <c r="AB40" i="8"/>
  <c r="AB48" i="8"/>
  <c r="AH48" i="8"/>
  <c r="AJ48" i="8" s="1"/>
  <c r="AB34" i="8"/>
  <c r="AH34" i="8"/>
  <c r="AJ34" i="8" s="1"/>
  <c r="X34" i="8" s="1"/>
  <c r="Y34" i="8" s="1"/>
  <c r="AB33" i="8"/>
  <c r="AH33" i="8"/>
  <c r="AJ33" i="8" s="1"/>
  <c r="X33" i="8" s="1"/>
  <c r="Y33" i="8" s="1"/>
  <c r="AH42" i="8"/>
  <c r="AJ42" i="8" s="1"/>
  <c r="AB42" i="8"/>
  <c r="AH43" i="8"/>
  <c r="AJ43" i="8" s="1"/>
  <c r="AB43" i="8"/>
  <c r="Z29" i="8"/>
  <c r="AI29" i="8"/>
  <c r="AA26" i="8"/>
  <c r="AA27" i="8" s="1"/>
  <c r="AA28" i="8" s="1"/>
  <c r="AA29" i="8" s="1"/>
  <c r="AA30" i="8" s="1"/>
  <c r="AA31" i="8" s="1"/>
  <c r="AA32" i="8" s="1"/>
  <c r="Z26" i="8"/>
  <c r="Z28" i="8"/>
  <c r="Z32" i="8"/>
  <c r="AI32" i="8"/>
  <c r="AI30" i="8"/>
  <c r="Z30" i="8"/>
  <c r="Z27" i="8"/>
  <c r="AI27" i="8"/>
  <c r="Z31" i="8"/>
  <c r="AI31" i="8"/>
  <c r="AA33" i="8" l="1"/>
  <c r="AA34" i="8" s="1"/>
  <c r="AA35" i="8" s="1"/>
  <c r="AA36" i="8" s="1"/>
  <c r="AA37" i="8" s="1"/>
  <c r="AA38" i="8" s="1"/>
  <c r="AA39" i="8" s="1"/>
  <c r="AI33" i="8"/>
  <c r="Z33" i="8"/>
  <c r="AI38" i="8"/>
  <c r="Z38" i="8"/>
  <c r="AI35" i="8"/>
  <c r="Z35" i="8"/>
  <c r="Z34" i="8"/>
  <c r="AI34" i="8"/>
  <c r="AI36" i="8"/>
  <c r="Z36" i="8"/>
  <c r="AI39" i="8"/>
  <c r="X40" i="8" s="1"/>
  <c r="Y40" i="8" s="1"/>
  <c r="Z39" i="8"/>
  <c r="Z37" i="8"/>
  <c r="AI37" i="8"/>
  <c r="AA40" i="8" l="1"/>
  <c r="Z40" i="8"/>
  <c r="AI40" i="8"/>
  <c r="X41" i="8" s="1"/>
  <c r="Y41" i="8" s="1"/>
  <c r="AI41" i="8" l="1"/>
  <c r="X42" i="8" s="1"/>
  <c r="Y42" i="8" s="1"/>
  <c r="Z41" i="8"/>
  <c r="AA41" i="8"/>
  <c r="AA42" i="8" l="1"/>
  <c r="Z42" i="8"/>
  <c r="AI42" i="8"/>
  <c r="X43" i="8" s="1"/>
  <c r="Y43" i="8" s="1"/>
  <c r="AI43" i="8" l="1"/>
  <c r="X44" i="8" s="1"/>
  <c r="Y44" i="8" s="1"/>
  <c r="Z43" i="8"/>
  <c r="AA43" i="8"/>
  <c r="AA44" i="8" l="1"/>
  <c r="AI44" i="8"/>
  <c r="X45" i="8" s="1"/>
  <c r="Y45" i="8" s="1"/>
  <c r="Z44" i="8"/>
  <c r="AI45" i="8" l="1"/>
  <c r="X46" i="8" s="1"/>
  <c r="Y46" i="8" s="1"/>
  <c r="Z45" i="8"/>
  <c r="AA45" i="8"/>
  <c r="AA46" i="8" l="1"/>
  <c r="Z46" i="8"/>
  <c r="AI46" i="8"/>
  <c r="X47" i="8" s="1"/>
  <c r="Y47" i="8" s="1"/>
  <c r="AI47" i="8" l="1"/>
  <c r="X48" i="8" s="1"/>
  <c r="Y48" i="8" s="1"/>
  <c r="Z47" i="8"/>
  <c r="AA47" i="8"/>
  <c r="AA48" i="8" l="1"/>
  <c r="AI48" i="8"/>
  <c r="X49" i="8" s="1"/>
  <c r="Y49" i="8" s="1"/>
  <c r="Z48" i="8"/>
  <c r="Z49" i="8" l="1"/>
  <c r="AI49" i="8"/>
  <c r="X50" i="8" s="1"/>
  <c r="Y50" i="8" s="1"/>
  <c r="AA49" i="8"/>
  <c r="AA50" i="8" l="1"/>
  <c r="Z50" i="8"/>
  <c r="AI50" i="8"/>
</calcChain>
</file>

<file path=xl/sharedStrings.xml><?xml version="1.0" encoding="utf-8"?>
<sst xmlns="http://schemas.openxmlformats.org/spreadsheetml/2006/main" count="465" uniqueCount="282">
  <si>
    <t>収入金額</t>
    <rPh sb="0" eb="2">
      <t>シュウニュウ</t>
    </rPh>
    <rPh sb="2" eb="4">
      <t>キンガク</t>
    </rPh>
    <phoneticPr fontId="2"/>
  </si>
  <si>
    <t>-所得税</t>
    <phoneticPr fontId="2"/>
  </si>
  <si>
    <t>-社会保険料</t>
    <phoneticPr fontId="2"/>
  </si>
  <si>
    <t>合計</t>
    <rPh sb="0" eb="2">
      <t>ゴウケイ</t>
    </rPh>
    <phoneticPr fontId="2"/>
  </si>
  <si>
    <t>項目</t>
    <rPh sb="0" eb="2">
      <t>コウモク</t>
    </rPh>
    <phoneticPr fontId="2"/>
  </si>
  <si>
    <t>内容</t>
    <rPh sb="0" eb="2">
      <t>ナイヨウ</t>
    </rPh>
    <phoneticPr fontId="2"/>
  </si>
  <si>
    <t>毎月支出</t>
    <rPh sb="0" eb="2">
      <t>マイツキ</t>
    </rPh>
    <rPh sb="2" eb="4">
      <t>シシュツ</t>
    </rPh>
    <phoneticPr fontId="2"/>
  </si>
  <si>
    <t>年数回の支出</t>
    <rPh sb="0" eb="1">
      <t>ネン</t>
    </rPh>
    <rPh sb="1" eb="3">
      <t>スウカイ</t>
    </rPh>
    <rPh sb="4" eb="6">
      <t>シシュツ</t>
    </rPh>
    <phoneticPr fontId="2"/>
  </si>
  <si>
    <t>1年間の支出</t>
    <rPh sb="1" eb="3">
      <t>ネンカン</t>
    </rPh>
    <rPh sb="4" eb="6">
      <t>シシュツ</t>
    </rPh>
    <phoneticPr fontId="2"/>
  </si>
  <si>
    <t>食費</t>
    <rPh sb="0" eb="2">
      <t>ショクヒ</t>
    </rPh>
    <phoneticPr fontId="2"/>
  </si>
  <si>
    <t>水道光熱費</t>
    <rPh sb="0" eb="2">
      <t>スイドウ</t>
    </rPh>
    <rPh sb="2" eb="5">
      <t>コウネツヒ</t>
    </rPh>
    <phoneticPr fontId="2"/>
  </si>
  <si>
    <t>日用雑貨費</t>
    <rPh sb="0" eb="2">
      <t>ニチヨウ</t>
    </rPh>
    <rPh sb="2" eb="4">
      <t>ザッカ</t>
    </rPh>
    <rPh sb="4" eb="5">
      <t>ヒ</t>
    </rPh>
    <phoneticPr fontId="2"/>
  </si>
  <si>
    <t>趣味娯楽費</t>
    <rPh sb="0" eb="2">
      <t>シュミ</t>
    </rPh>
    <rPh sb="2" eb="5">
      <t>ゴラクヒ</t>
    </rPh>
    <phoneticPr fontId="2"/>
  </si>
  <si>
    <t>小計</t>
    <rPh sb="0" eb="2">
      <t>ショウケイ</t>
    </rPh>
    <phoneticPr fontId="2"/>
  </si>
  <si>
    <t>住宅ローン</t>
    <rPh sb="0" eb="2">
      <t>ジュウタク</t>
    </rPh>
    <phoneticPr fontId="2"/>
  </si>
  <si>
    <t>ガソリン代</t>
    <rPh sb="4" eb="5">
      <t>ダイ</t>
    </rPh>
    <phoneticPr fontId="2"/>
  </si>
  <si>
    <t>年</t>
    <rPh sb="0" eb="1">
      <t>ネン</t>
    </rPh>
    <phoneticPr fontId="2"/>
  </si>
  <si>
    <t>資金計画</t>
    <rPh sb="0" eb="2">
      <t>シキン</t>
    </rPh>
    <rPh sb="2" eb="4">
      <t>ケイカク</t>
    </rPh>
    <phoneticPr fontId="2"/>
  </si>
  <si>
    <t>収入計</t>
    <rPh sb="0" eb="2">
      <t>シュウニュウ</t>
    </rPh>
    <rPh sb="2" eb="3">
      <t>ケイ</t>
    </rPh>
    <phoneticPr fontId="2"/>
  </si>
  <si>
    <t>支出計</t>
    <rPh sb="0" eb="2">
      <t>シシュツ</t>
    </rPh>
    <rPh sb="2" eb="3">
      <t>ケイ</t>
    </rPh>
    <phoneticPr fontId="2"/>
  </si>
  <si>
    <t>単位：万円</t>
    <rPh sb="0" eb="2">
      <t>タンイ</t>
    </rPh>
    <rPh sb="3" eb="5">
      <t>マンエン</t>
    </rPh>
    <phoneticPr fontId="2"/>
  </si>
  <si>
    <t>その他</t>
    <rPh sb="2" eb="3">
      <t>ホカ</t>
    </rPh>
    <phoneticPr fontId="2"/>
  </si>
  <si>
    <t>通信費</t>
    <rPh sb="0" eb="3">
      <t>ツウシンヒ</t>
    </rPh>
    <phoneticPr fontId="2"/>
  </si>
  <si>
    <t>駐車場代</t>
    <rPh sb="0" eb="3">
      <t>チュウシャジョウ</t>
    </rPh>
    <rPh sb="3" eb="4">
      <t>ダイ</t>
    </rPh>
    <phoneticPr fontId="2"/>
  </si>
  <si>
    <t>＝1年間の　　　　　　　　　　　　　　　　　　　　　　　　手取り収入</t>
    <rPh sb="2" eb="4">
      <t>ネンカン</t>
    </rPh>
    <rPh sb="29" eb="31">
      <t>テド</t>
    </rPh>
    <rPh sb="32" eb="34">
      <t>シュウニュウ</t>
    </rPh>
    <phoneticPr fontId="2"/>
  </si>
  <si>
    <t>基本生活費</t>
    <rPh sb="0" eb="2">
      <t>キホン</t>
    </rPh>
    <rPh sb="2" eb="5">
      <t>セイカツヒ</t>
    </rPh>
    <phoneticPr fontId="2"/>
  </si>
  <si>
    <t>教育関連</t>
    <rPh sb="0" eb="2">
      <t>キョウイク</t>
    </rPh>
    <rPh sb="2" eb="4">
      <t>カンレン</t>
    </rPh>
    <phoneticPr fontId="2"/>
  </si>
  <si>
    <t>住宅関連費</t>
    <rPh sb="0" eb="2">
      <t>ジュウタク</t>
    </rPh>
    <rPh sb="2" eb="4">
      <t>カンレン</t>
    </rPh>
    <rPh sb="4" eb="5">
      <t>ヒ</t>
    </rPh>
    <phoneticPr fontId="2"/>
  </si>
  <si>
    <t>公営住宅等家賃</t>
    <rPh sb="0" eb="2">
      <t>コウエイ</t>
    </rPh>
    <rPh sb="2" eb="4">
      <t>ジュウタク</t>
    </rPh>
    <rPh sb="4" eb="5">
      <t>トウ</t>
    </rPh>
    <rPh sb="5" eb="7">
      <t>ヤチン</t>
    </rPh>
    <phoneticPr fontId="2"/>
  </si>
  <si>
    <t>マイカー関連費</t>
    <rPh sb="4" eb="6">
      <t>カンレン</t>
    </rPh>
    <rPh sb="6" eb="7">
      <t>ヒ</t>
    </rPh>
    <phoneticPr fontId="2"/>
  </si>
  <si>
    <t>保険関連費</t>
    <rPh sb="0" eb="2">
      <t>ホケン</t>
    </rPh>
    <rPh sb="2" eb="4">
      <t>カンレン</t>
    </rPh>
    <rPh sb="4" eb="5">
      <t>ヒ</t>
    </rPh>
    <phoneticPr fontId="2"/>
  </si>
  <si>
    <t>夫の保険</t>
    <rPh sb="0" eb="1">
      <t>オット</t>
    </rPh>
    <rPh sb="2" eb="4">
      <t>ホケン</t>
    </rPh>
    <phoneticPr fontId="2"/>
  </si>
  <si>
    <t>妻の保険</t>
    <rPh sb="0" eb="1">
      <t>ツマ</t>
    </rPh>
    <rPh sb="2" eb="4">
      <t>ホケン</t>
    </rPh>
    <phoneticPr fontId="2"/>
  </si>
  <si>
    <t>こども保険</t>
    <rPh sb="3" eb="5">
      <t>ホケン</t>
    </rPh>
    <phoneticPr fontId="2"/>
  </si>
  <si>
    <t>旅行</t>
    <rPh sb="0" eb="2">
      <t>リョコウ</t>
    </rPh>
    <phoneticPr fontId="2"/>
  </si>
  <si>
    <t>現在借入残高</t>
    <rPh sb="0" eb="2">
      <t>ゲンザイ</t>
    </rPh>
    <rPh sb="2" eb="4">
      <t>シャクニュウ</t>
    </rPh>
    <rPh sb="4" eb="6">
      <t>ザンダカ</t>
    </rPh>
    <phoneticPr fontId="2"/>
  </si>
  <si>
    <t>返済額（年間）</t>
    <rPh sb="0" eb="2">
      <t>ヘンサイ</t>
    </rPh>
    <rPh sb="2" eb="3">
      <t>ガク</t>
    </rPh>
    <rPh sb="4" eb="6">
      <t>ネンカン</t>
    </rPh>
    <phoneticPr fontId="2"/>
  </si>
  <si>
    <t>その他のローン</t>
    <rPh sb="2" eb="3">
      <t>タ</t>
    </rPh>
    <phoneticPr fontId="2"/>
  </si>
  <si>
    <t>１子</t>
    <rPh sb="1" eb="2">
      <t>シ</t>
    </rPh>
    <phoneticPr fontId="10"/>
  </si>
  <si>
    <t>歳</t>
    <rPh sb="0" eb="1">
      <t>サイ</t>
    </rPh>
    <phoneticPr fontId="10"/>
  </si>
  <si>
    <t>2子</t>
    <rPh sb="1" eb="2">
      <t>シ</t>
    </rPh>
    <phoneticPr fontId="10"/>
  </si>
  <si>
    <t>3子</t>
    <rPh sb="1" eb="2">
      <t>シ</t>
    </rPh>
    <phoneticPr fontId="10"/>
  </si>
  <si>
    <t>単位：万円</t>
    <rPh sb="0" eb="2">
      <t>タンイ</t>
    </rPh>
    <rPh sb="3" eb="5">
      <t>マンエン</t>
    </rPh>
    <phoneticPr fontId="10"/>
  </si>
  <si>
    <t>1子</t>
    <rPh sb="1" eb="2">
      <t>コ</t>
    </rPh>
    <phoneticPr fontId="10"/>
  </si>
  <si>
    <t>2子</t>
    <rPh sb="1" eb="2">
      <t>シ</t>
    </rPh>
    <phoneticPr fontId="10"/>
  </si>
  <si>
    <t>3子</t>
    <rPh sb="1" eb="2">
      <t>シ</t>
    </rPh>
    <phoneticPr fontId="10"/>
  </si>
  <si>
    <t>合計</t>
    <rPh sb="0" eb="2">
      <t>ゴウケイ</t>
    </rPh>
    <phoneticPr fontId="10"/>
  </si>
  <si>
    <t>年齢</t>
    <rPh sb="0" eb="2">
      <t>ネンレイ</t>
    </rPh>
    <phoneticPr fontId="10"/>
  </si>
  <si>
    <t>歳</t>
    <rPh sb="0" eb="1">
      <t>トシ</t>
    </rPh>
    <phoneticPr fontId="10"/>
  </si>
  <si>
    <t>費用</t>
    <rPh sb="0" eb="2">
      <t>ヒヨウ</t>
    </rPh>
    <phoneticPr fontId="10"/>
  </si>
  <si>
    <t>種類</t>
    <rPh sb="0" eb="2">
      <t>シュルイ</t>
    </rPh>
    <phoneticPr fontId="9"/>
  </si>
  <si>
    <t>種類</t>
    <rPh sb="0" eb="2">
      <t>シュルイ</t>
    </rPh>
    <phoneticPr fontId="2"/>
  </si>
  <si>
    <t>合計</t>
    <rPh sb="0" eb="2">
      <t>ゴウケイ</t>
    </rPh>
    <phoneticPr fontId="9"/>
  </si>
  <si>
    <t>預貯金（預入金額）</t>
    <rPh sb="0" eb="3">
      <t>ヨチョキン</t>
    </rPh>
    <rPh sb="4" eb="6">
      <t>アズケイレ</t>
    </rPh>
    <rPh sb="6" eb="8">
      <t>キンガク</t>
    </rPh>
    <phoneticPr fontId="2"/>
  </si>
  <si>
    <t>保険（解約返戻金）</t>
    <rPh sb="0" eb="2">
      <t>ホケン</t>
    </rPh>
    <rPh sb="3" eb="5">
      <t>カイヤク</t>
    </rPh>
    <rPh sb="5" eb="8">
      <t>ヘンレイキン</t>
    </rPh>
    <phoneticPr fontId="9"/>
  </si>
  <si>
    <t>投資商品（時価）</t>
    <rPh sb="0" eb="2">
      <t>トウシ</t>
    </rPh>
    <rPh sb="2" eb="4">
      <t>ショウヒン</t>
    </rPh>
    <rPh sb="5" eb="7">
      <t>ジカ</t>
    </rPh>
    <phoneticPr fontId="9"/>
  </si>
  <si>
    <t>その他金融資産</t>
    <rPh sb="2" eb="3">
      <t>タ</t>
    </rPh>
    <rPh sb="3" eb="5">
      <t>キンユウ</t>
    </rPh>
    <rPh sb="5" eb="7">
      <t>シサン</t>
    </rPh>
    <phoneticPr fontId="9"/>
  </si>
  <si>
    <t>残高</t>
    <rPh sb="0" eb="2">
      <t>ザンダカ</t>
    </rPh>
    <phoneticPr fontId="9"/>
  </si>
  <si>
    <t>住宅ローン</t>
    <rPh sb="0" eb="2">
      <t>ジュウタク</t>
    </rPh>
    <phoneticPr fontId="9"/>
  </si>
  <si>
    <t>当初借入金額</t>
    <rPh sb="0" eb="2">
      <t>トウショ</t>
    </rPh>
    <rPh sb="2" eb="4">
      <t>カリイレ</t>
    </rPh>
    <rPh sb="4" eb="6">
      <t>キンガク</t>
    </rPh>
    <phoneticPr fontId="2"/>
  </si>
  <si>
    <t>返済開始年月</t>
    <rPh sb="0" eb="2">
      <t>ヘンサイ</t>
    </rPh>
    <rPh sb="2" eb="4">
      <t>カイシ</t>
    </rPh>
    <rPh sb="4" eb="6">
      <t>ネンゲツ</t>
    </rPh>
    <phoneticPr fontId="2"/>
  </si>
  <si>
    <t>返済終了年月</t>
    <rPh sb="0" eb="2">
      <t>ヘンサイ</t>
    </rPh>
    <rPh sb="2" eb="4">
      <t>シュウリョウ</t>
    </rPh>
    <rPh sb="4" eb="6">
      <t>ネンゲツ</t>
    </rPh>
    <rPh sb="5" eb="6">
      <t>テイネン</t>
    </rPh>
    <phoneticPr fontId="9"/>
  </si>
  <si>
    <t>返済終了年月</t>
    <rPh sb="0" eb="2">
      <t>ヘンサイ</t>
    </rPh>
    <rPh sb="2" eb="4">
      <t>シュウリョウ</t>
    </rPh>
    <rPh sb="4" eb="6">
      <t>ネンゲツ</t>
    </rPh>
    <phoneticPr fontId="9"/>
  </si>
  <si>
    <t>預貯金等金融資産</t>
    <rPh sb="0" eb="4">
      <t>ヨチョキントウ</t>
    </rPh>
    <rPh sb="4" eb="6">
      <t>キンユウ</t>
    </rPh>
    <rPh sb="6" eb="8">
      <t>シサン</t>
    </rPh>
    <phoneticPr fontId="2"/>
  </si>
  <si>
    <t>既存ローン等借入</t>
    <rPh sb="0" eb="2">
      <t>キゾン</t>
    </rPh>
    <rPh sb="5" eb="6">
      <t>ナド</t>
    </rPh>
    <rPh sb="6" eb="8">
      <t>カリイレ</t>
    </rPh>
    <phoneticPr fontId="2"/>
  </si>
  <si>
    <t>新規ローン等借入</t>
    <rPh sb="0" eb="2">
      <t>シンキ</t>
    </rPh>
    <rPh sb="5" eb="6">
      <t>ナド</t>
    </rPh>
    <rPh sb="6" eb="8">
      <t>カリイレ</t>
    </rPh>
    <phoneticPr fontId="2"/>
  </si>
  <si>
    <t>Ｈ20.4.2～Ｈ21.4.1</t>
    <phoneticPr fontId="10"/>
  </si>
  <si>
    <t>Ｈ21.4.2～Ｈ22.4.1</t>
    <phoneticPr fontId="10"/>
  </si>
  <si>
    <t>Ｈ19.4.2～Ｈ20.4.1</t>
    <phoneticPr fontId="10"/>
  </si>
  <si>
    <t>Ｈ17.4.2～Ｈ18.4.1</t>
    <phoneticPr fontId="10"/>
  </si>
  <si>
    <t>Ｈ18.4.2～Ｈ19.4.1</t>
    <phoneticPr fontId="10"/>
  </si>
  <si>
    <t>Ｈ16.4.2～Ｈ17.4.1</t>
    <phoneticPr fontId="10"/>
  </si>
  <si>
    <t>Ｈ15.4.2～Ｈ16.4.1</t>
    <phoneticPr fontId="10"/>
  </si>
  <si>
    <t>Ｈ14.4.2～Ｈ15.4.1</t>
    <phoneticPr fontId="10"/>
  </si>
  <si>
    <t>Ｈ13.4.2～Ｈ14.4.1</t>
    <phoneticPr fontId="10"/>
  </si>
  <si>
    <t>Ｈ12.4.2～Ｈ13.4.1</t>
    <phoneticPr fontId="10"/>
  </si>
  <si>
    <t>Ｈ11.4.2～Ｈ12.4.1</t>
    <phoneticPr fontId="10"/>
  </si>
  <si>
    <t>Ｈ10.4.2～Ｈ11.4.1</t>
    <phoneticPr fontId="10"/>
  </si>
  <si>
    <t>Ｈ9.4.2～Ｈ10.4.1</t>
    <phoneticPr fontId="10"/>
  </si>
  <si>
    <t>Ｈ8.4.2～Ｈ9.4.1</t>
    <phoneticPr fontId="10"/>
  </si>
  <si>
    <t>Ｈ7.4.2～Ｈ8.4.1</t>
    <phoneticPr fontId="10"/>
  </si>
  <si>
    <t>Ｈ6.4.2～Ｈ7.4.1</t>
    <phoneticPr fontId="10"/>
  </si>
  <si>
    <t>Ｈ5.4.2～Ｈ6.4.1</t>
    <phoneticPr fontId="10"/>
  </si>
  <si>
    <t>Ｈ4.4.2～Ｈ5.4.1</t>
    <phoneticPr fontId="10"/>
  </si>
  <si>
    <t>生年月日</t>
    <rPh sb="0" eb="2">
      <t>セイネン</t>
    </rPh>
    <rPh sb="2" eb="4">
      <t>ガッピ</t>
    </rPh>
    <phoneticPr fontId="10"/>
  </si>
  <si>
    <t>教育費</t>
    <rPh sb="0" eb="3">
      <t>キョウイクヒ</t>
    </rPh>
    <phoneticPr fontId="10"/>
  </si>
  <si>
    <t>小学1年</t>
    <rPh sb="0" eb="2">
      <t>ショウガク</t>
    </rPh>
    <rPh sb="3" eb="4">
      <t>ネン</t>
    </rPh>
    <phoneticPr fontId="10"/>
  </si>
  <si>
    <t>小学2年</t>
    <rPh sb="0" eb="2">
      <t>ショウガク</t>
    </rPh>
    <rPh sb="3" eb="4">
      <t>ネン</t>
    </rPh>
    <phoneticPr fontId="10"/>
  </si>
  <si>
    <t>小学3年</t>
    <rPh sb="0" eb="2">
      <t>ショウガク</t>
    </rPh>
    <rPh sb="3" eb="4">
      <t>ネン</t>
    </rPh>
    <phoneticPr fontId="10"/>
  </si>
  <si>
    <t>小学4年</t>
    <rPh sb="0" eb="2">
      <t>ショウガク</t>
    </rPh>
    <rPh sb="3" eb="4">
      <t>ネン</t>
    </rPh>
    <phoneticPr fontId="10"/>
  </si>
  <si>
    <t>小学5年</t>
    <rPh sb="0" eb="2">
      <t>ショウガク</t>
    </rPh>
    <rPh sb="3" eb="4">
      <t>ネン</t>
    </rPh>
    <phoneticPr fontId="10"/>
  </si>
  <si>
    <t>小学6年</t>
    <rPh sb="0" eb="2">
      <t>ショウガク</t>
    </rPh>
    <rPh sb="3" eb="4">
      <t>ネン</t>
    </rPh>
    <phoneticPr fontId="10"/>
  </si>
  <si>
    <t>中学1年</t>
    <rPh sb="0" eb="2">
      <t>チュウガク</t>
    </rPh>
    <rPh sb="3" eb="4">
      <t>ネン</t>
    </rPh>
    <phoneticPr fontId="10"/>
  </si>
  <si>
    <t>中学2年</t>
    <rPh sb="0" eb="2">
      <t>チュウガク</t>
    </rPh>
    <rPh sb="3" eb="4">
      <t>ネン</t>
    </rPh>
    <phoneticPr fontId="10"/>
  </si>
  <si>
    <t>中学3年</t>
    <rPh sb="0" eb="2">
      <t>チュウガク</t>
    </rPh>
    <rPh sb="3" eb="4">
      <t>ネン</t>
    </rPh>
    <phoneticPr fontId="10"/>
  </si>
  <si>
    <t>高校1年</t>
    <rPh sb="0" eb="2">
      <t>コウコウ</t>
    </rPh>
    <rPh sb="3" eb="4">
      <t>ネン</t>
    </rPh>
    <phoneticPr fontId="10"/>
  </si>
  <si>
    <t>高校2年</t>
    <rPh sb="0" eb="2">
      <t>コウコウ</t>
    </rPh>
    <rPh sb="3" eb="4">
      <t>ネン</t>
    </rPh>
    <phoneticPr fontId="10"/>
  </si>
  <si>
    <t>高校3年</t>
    <rPh sb="0" eb="2">
      <t>コウコウ</t>
    </rPh>
    <rPh sb="3" eb="4">
      <t>ネン</t>
    </rPh>
    <phoneticPr fontId="10"/>
  </si>
  <si>
    <t>幼稚園1年</t>
    <rPh sb="0" eb="3">
      <t>ヨウチエン</t>
    </rPh>
    <rPh sb="4" eb="5">
      <t>ネン</t>
    </rPh>
    <phoneticPr fontId="10"/>
  </si>
  <si>
    <t>幼稚園2年</t>
    <rPh sb="0" eb="3">
      <t>ヨウチエン</t>
    </rPh>
    <rPh sb="4" eb="5">
      <t>ネン</t>
    </rPh>
    <phoneticPr fontId="10"/>
  </si>
  <si>
    <t>幼稚園3年</t>
    <rPh sb="0" eb="3">
      <t>ヨウチエン</t>
    </rPh>
    <rPh sb="4" eb="5">
      <t>ネン</t>
    </rPh>
    <phoneticPr fontId="10"/>
  </si>
  <si>
    <t>-</t>
    <phoneticPr fontId="10"/>
  </si>
  <si>
    <t>学年</t>
    <rPh sb="0" eb="2">
      <t>ガクネン</t>
    </rPh>
    <phoneticPr fontId="10"/>
  </si>
  <si>
    <t>※年齢は、1月1日現在、学年は4月1日現在とします。</t>
    <rPh sb="1" eb="3">
      <t>ネンレイ</t>
    </rPh>
    <rPh sb="6" eb="7">
      <t>ガツ</t>
    </rPh>
    <rPh sb="8" eb="9">
      <t>ニチ</t>
    </rPh>
    <rPh sb="9" eb="11">
      <t>ゲンザイ</t>
    </rPh>
    <rPh sb="12" eb="14">
      <t>ガクネン</t>
    </rPh>
    <rPh sb="16" eb="17">
      <t>ガツ</t>
    </rPh>
    <rPh sb="18" eb="19">
      <t>ニチ</t>
    </rPh>
    <rPh sb="19" eb="21">
      <t>ゲンザイ</t>
    </rPh>
    <phoneticPr fontId="10"/>
  </si>
  <si>
    <t>学び希望基金</t>
    <rPh sb="0" eb="1">
      <t>マナ</t>
    </rPh>
    <rPh sb="2" eb="4">
      <t>キボウ</t>
    </rPh>
    <rPh sb="4" eb="6">
      <t>キキン</t>
    </rPh>
    <phoneticPr fontId="10"/>
  </si>
  <si>
    <t>借入予定額</t>
    <rPh sb="0" eb="2">
      <t>シャクニュウ</t>
    </rPh>
    <rPh sb="2" eb="4">
      <t>ヨテイ</t>
    </rPh>
    <rPh sb="4" eb="5">
      <t>ガク</t>
    </rPh>
    <phoneticPr fontId="2"/>
  </si>
  <si>
    <t>大学1年</t>
    <rPh sb="0" eb="2">
      <t>ダイガク</t>
    </rPh>
    <rPh sb="3" eb="4">
      <t>ネン</t>
    </rPh>
    <phoneticPr fontId="10"/>
  </si>
  <si>
    <t>大学2年</t>
    <rPh sb="0" eb="2">
      <t>ダイガク</t>
    </rPh>
    <rPh sb="3" eb="4">
      <t>ネン</t>
    </rPh>
    <phoneticPr fontId="10"/>
  </si>
  <si>
    <t>大学3年</t>
    <rPh sb="0" eb="2">
      <t>ダイガク</t>
    </rPh>
    <rPh sb="3" eb="4">
      <t>ネン</t>
    </rPh>
    <phoneticPr fontId="10"/>
  </si>
  <si>
    <t>大学4年</t>
    <rPh sb="0" eb="2">
      <t>ダイガク</t>
    </rPh>
    <rPh sb="3" eb="4">
      <t>ネン</t>
    </rPh>
    <phoneticPr fontId="10"/>
  </si>
  <si>
    <t>Ｈ3.4.2～Ｈ4.4.1</t>
    <phoneticPr fontId="10"/>
  </si>
  <si>
    <t>Ｈ2.4.2～Ｈ3.4.1</t>
    <phoneticPr fontId="10"/>
  </si>
  <si>
    <t>Ｈ1.4.2～Ｈ2.4.1</t>
    <phoneticPr fontId="10"/>
  </si>
  <si>
    <t>【教育費】</t>
    <rPh sb="1" eb="3">
      <t>キョウイク</t>
    </rPh>
    <rPh sb="3" eb="4">
      <t>ヒ</t>
    </rPh>
    <phoneticPr fontId="10"/>
  </si>
  <si>
    <t>教育費／学び希望基金　年齢対応表</t>
    <rPh sb="0" eb="3">
      <t>キョウイクヒ</t>
    </rPh>
    <rPh sb="4" eb="5">
      <t>マナ</t>
    </rPh>
    <rPh sb="6" eb="8">
      <t>キボウ</t>
    </rPh>
    <rPh sb="8" eb="10">
      <t>キキン</t>
    </rPh>
    <rPh sb="11" eb="13">
      <t>ネンレイ</t>
    </rPh>
    <rPh sb="13" eb="15">
      <t>タイオウ</t>
    </rPh>
    <rPh sb="15" eb="16">
      <t>ヒョウ</t>
    </rPh>
    <phoneticPr fontId="10"/>
  </si>
  <si>
    <t>【学び希望基金】</t>
    <rPh sb="1" eb="2">
      <t>マナ</t>
    </rPh>
    <rPh sb="3" eb="5">
      <t>キボウ</t>
    </rPh>
    <rPh sb="5" eb="7">
      <t>キキン</t>
    </rPh>
    <phoneticPr fontId="10"/>
  </si>
  <si>
    <t>ローン契約内容</t>
    <rPh sb="3" eb="5">
      <t>ケイヤク</t>
    </rPh>
    <rPh sb="5" eb="7">
      <t>ナイヨウ</t>
    </rPh>
    <phoneticPr fontId="17"/>
  </si>
  <si>
    <t>借入額</t>
    <rPh sb="0" eb="2">
      <t>カリイレ</t>
    </rPh>
    <rPh sb="2" eb="3">
      <t>ガク</t>
    </rPh>
    <phoneticPr fontId="15"/>
  </si>
  <si>
    <t>年利</t>
    <rPh sb="0" eb="2">
      <t>ネンリ</t>
    </rPh>
    <phoneticPr fontId="15"/>
  </si>
  <si>
    <t>返済回数</t>
    <rPh sb="0" eb="2">
      <t>ヘンサイ</t>
    </rPh>
    <rPh sb="2" eb="4">
      <t>カイスウ</t>
    </rPh>
    <phoneticPr fontId="15"/>
  </si>
  <si>
    <t>返済内容</t>
    <rPh sb="0" eb="2">
      <t>ヘンサイ</t>
    </rPh>
    <rPh sb="2" eb="4">
      <t>ナイヨウ</t>
    </rPh>
    <phoneticPr fontId="17"/>
  </si>
  <si>
    <t>返済月額</t>
    <rPh sb="0" eb="2">
      <t>ヘンサイ</t>
    </rPh>
    <rPh sb="2" eb="4">
      <t>ゲツガク</t>
    </rPh>
    <phoneticPr fontId="17"/>
  </si>
  <si>
    <t>支払総額</t>
    <rPh sb="0" eb="2">
      <t>シハライ</t>
    </rPh>
    <rPh sb="2" eb="4">
      <t>ソウガク</t>
    </rPh>
    <phoneticPr fontId="17"/>
  </si>
  <si>
    <t>回数</t>
    <rPh sb="0" eb="2">
      <t>カイスウ</t>
    </rPh>
    <phoneticPr fontId="17"/>
  </si>
  <si>
    <t>元金相当額</t>
    <rPh sb="0" eb="2">
      <t>ガンキン</t>
    </rPh>
    <rPh sb="2" eb="4">
      <t>ソウトウ</t>
    </rPh>
    <rPh sb="4" eb="5">
      <t>ガク</t>
    </rPh>
    <phoneticPr fontId="17"/>
  </si>
  <si>
    <t>利子相当額</t>
    <rPh sb="0" eb="2">
      <t>リシ</t>
    </rPh>
    <rPh sb="2" eb="4">
      <t>ソウトウ</t>
    </rPh>
    <rPh sb="4" eb="5">
      <t>ガク</t>
    </rPh>
    <phoneticPr fontId="17"/>
  </si>
  <si>
    <t>借入残高</t>
    <rPh sb="0" eb="2">
      <t>カリイレ</t>
    </rPh>
    <rPh sb="2" eb="4">
      <t>ザンダカ</t>
    </rPh>
    <phoneticPr fontId="17"/>
  </si>
  <si>
    <t>返済年額</t>
    <rPh sb="0" eb="2">
      <t>ヘンサイ</t>
    </rPh>
    <rPh sb="2" eb="4">
      <t>ネンガク</t>
    </rPh>
    <phoneticPr fontId="17"/>
  </si>
  <si>
    <t>1年</t>
    <rPh sb="1" eb="2">
      <t>ネン</t>
    </rPh>
    <phoneticPr fontId="16"/>
  </si>
  <si>
    <t>2年</t>
    <rPh sb="1" eb="2">
      <t>ネン</t>
    </rPh>
    <phoneticPr fontId="16"/>
  </si>
  <si>
    <t>3年</t>
    <rPh sb="1" eb="2">
      <t>ネン</t>
    </rPh>
    <phoneticPr fontId="16"/>
  </si>
  <si>
    <t>4年</t>
    <rPh sb="1" eb="2">
      <t>ネン</t>
    </rPh>
    <phoneticPr fontId="16"/>
  </si>
  <si>
    <t>5年</t>
    <rPh sb="1" eb="2">
      <t>ネン</t>
    </rPh>
    <phoneticPr fontId="16"/>
  </si>
  <si>
    <t>6年</t>
    <rPh sb="1" eb="2">
      <t>ネン</t>
    </rPh>
    <phoneticPr fontId="16"/>
  </si>
  <si>
    <t>7年</t>
    <rPh sb="1" eb="2">
      <t>ネン</t>
    </rPh>
    <phoneticPr fontId="16"/>
  </si>
  <si>
    <t>8年</t>
    <rPh sb="1" eb="2">
      <t>ネン</t>
    </rPh>
    <phoneticPr fontId="16"/>
  </si>
  <si>
    <t>9年</t>
    <rPh sb="1" eb="2">
      <t>ネン</t>
    </rPh>
    <phoneticPr fontId="16"/>
  </si>
  <si>
    <t>10年</t>
    <rPh sb="2" eb="3">
      <t>ネン</t>
    </rPh>
    <phoneticPr fontId="16"/>
  </si>
  <si>
    <t>11年</t>
    <rPh sb="2" eb="3">
      <t>ネン</t>
    </rPh>
    <phoneticPr fontId="16"/>
  </si>
  <si>
    <t>12年</t>
    <rPh sb="2" eb="3">
      <t>ネン</t>
    </rPh>
    <phoneticPr fontId="16"/>
  </si>
  <si>
    <t>13年</t>
    <rPh sb="2" eb="3">
      <t>ネン</t>
    </rPh>
    <phoneticPr fontId="16"/>
  </si>
  <si>
    <t>14年</t>
    <rPh sb="2" eb="3">
      <t>ネン</t>
    </rPh>
    <phoneticPr fontId="16"/>
  </si>
  <si>
    <t>15年</t>
    <rPh sb="2" eb="3">
      <t>ネン</t>
    </rPh>
    <phoneticPr fontId="16"/>
  </si>
  <si>
    <t>16年</t>
    <rPh sb="2" eb="3">
      <t>ネン</t>
    </rPh>
    <phoneticPr fontId="16"/>
  </si>
  <si>
    <t>17年</t>
    <rPh sb="2" eb="3">
      <t>ネン</t>
    </rPh>
    <phoneticPr fontId="16"/>
  </si>
  <si>
    <t>18年</t>
    <rPh sb="2" eb="3">
      <t>ネン</t>
    </rPh>
    <phoneticPr fontId="16"/>
  </si>
  <si>
    <t>19年</t>
    <rPh sb="2" eb="3">
      <t>ネン</t>
    </rPh>
    <phoneticPr fontId="16"/>
  </si>
  <si>
    <t>20年</t>
    <rPh sb="2" eb="3">
      <t>ネン</t>
    </rPh>
    <phoneticPr fontId="16"/>
  </si>
  <si>
    <t>21年</t>
    <rPh sb="2" eb="3">
      <t>ネン</t>
    </rPh>
    <phoneticPr fontId="16"/>
  </si>
  <si>
    <t>22年</t>
    <rPh sb="2" eb="3">
      <t>ネン</t>
    </rPh>
    <phoneticPr fontId="16"/>
  </si>
  <si>
    <t>23年</t>
    <rPh sb="2" eb="3">
      <t>ネン</t>
    </rPh>
    <phoneticPr fontId="16"/>
  </si>
  <si>
    <t>24年</t>
    <rPh sb="2" eb="3">
      <t>ネン</t>
    </rPh>
    <phoneticPr fontId="16"/>
  </si>
  <si>
    <t>25年</t>
    <rPh sb="2" eb="3">
      <t>ネン</t>
    </rPh>
    <phoneticPr fontId="16"/>
  </si>
  <si>
    <t>年末借入残高</t>
    <rPh sb="0" eb="2">
      <t>ネンマツ</t>
    </rPh>
    <rPh sb="2" eb="4">
      <t>カリイレ</t>
    </rPh>
    <rPh sb="4" eb="6">
      <t>ザンダカ</t>
    </rPh>
    <phoneticPr fontId="17"/>
  </si>
  <si>
    <t>単位：円</t>
    <rPh sb="0" eb="2">
      <t>タンイ</t>
    </rPh>
    <rPh sb="3" eb="4">
      <t>エン</t>
    </rPh>
    <phoneticPr fontId="16"/>
  </si>
  <si>
    <t>シート№４　貯蓄残高・ローン残高表</t>
    <rPh sb="6" eb="8">
      <t>チョチク</t>
    </rPh>
    <rPh sb="8" eb="10">
      <t>ザンダカ</t>
    </rPh>
    <rPh sb="14" eb="16">
      <t>ザンダカ</t>
    </rPh>
    <rPh sb="16" eb="17">
      <t>ヒョウ</t>
    </rPh>
    <phoneticPr fontId="18"/>
  </si>
  <si>
    <t>記入例</t>
    <rPh sb="0" eb="2">
      <t>キニュウ</t>
    </rPh>
    <rPh sb="2" eb="3">
      <t>レイ</t>
    </rPh>
    <phoneticPr fontId="9"/>
  </si>
  <si>
    <t>シート№５　元利均等ローン返済表</t>
    <rPh sb="6" eb="8">
      <t>ガンリ</t>
    </rPh>
    <rPh sb="8" eb="10">
      <t>キントウ</t>
    </rPh>
    <rPh sb="13" eb="15">
      <t>ヘンサイ</t>
    </rPh>
    <rPh sb="15" eb="16">
      <t>ヒョウ</t>
    </rPh>
    <phoneticPr fontId="18"/>
  </si>
  <si>
    <t>シート№６　元利均等ローン返済表</t>
    <rPh sb="6" eb="8">
      <t>ガンリ</t>
    </rPh>
    <rPh sb="8" eb="10">
      <t>キントウ</t>
    </rPh>
    <rPh sb="13" eb="15">
      <t>ヘンサイ</t>
    </rPh>
    <rPh sb="15" eb="16">
      <t>ヒョウ</t>
    </rPh>
    <phoneticPr fontId="18"/>
  </si>
  <si>
    <t>新規</t>
    <rPh sb="0" eb="2">
      <t>シンキ</t>
    </rPh>
    <phoneticPr fontId="19"/>
  </si>
  <si>
    <t>ローン開始年</t>
    <rPh sb="3" eb="5">
      <t>カイシ</t>
    </rPh>
    <rPh sb="5" eb="6">
      <t>ネン</t>
    </rPh>
    <phoneticPr fontId="19"/>
  </si>
  <si>
    <t>既存ローン</t>
    <rPh sb="0" eb="2">
      <t>キソン</t>
    </rPh>
    <phoneticPr fontId="16"/>
  </si>
  <si>
    <t>借入額（ローン残高）</t>
    <rPh sb="0" eb="2">
      <t>カリイレ</t>
    </rPh>
    <rPh sb="2" eb="3">
      <t>ガク</t>
    </rPh>
    <rPh sb="7" eb="9">
      <t>ザンダカ</t>
    </rPh>
    <phoneticPr fontId="15"/>
  </si>
  <si>
    <t>返済回数（残り回数）</t>
    <rPh sb="0" eb="2">
      <t>ヘンサイ</t>
    </rPh>
    <rPh sb="2" eb="4">
      <t>カイスウ</t>
    </rPh>
    <rPh sb="5" eb="6">
      <t>ノコ</t>
    </rPh>
    <rPh sb="7" eb="9">
      <t>カイスウ</t>
    </rPh>
    <phoneticPr fontId="15"/>
  </si>
  <si>
    <t>H28</t>
    <phoneticPr fontId="9"/>
  </si>
  <si>
    <t>H24</t>
    <phoneticPr fontId="9"/>
  </si>
  <si>
    <t>H51</t>
    <phoneticPr fontId="9"/>
  </si>
  <si>
    <t>シート№７　教育関連費試算表</t>
    <rPh sb="6" eb="8">
      <t>キョウイク</t>
    </rPh>
    <rPh sb="8" eb="10">
      <t>カンレン</t>
    </rPh>
    <rPh sb="10" eb="11">
      <t>ヒ</t>
    </rPh>
    <rPh sb="11" eb="14">
      <t>シサンヒョウ</t>
    </rPh>
    <phoneticPr fontId="18"/>
  </si>
  <si>
    <t>教育費-学び基金</t>
    <rPh sb="0" eb="3">
      <t>キョウイクヒ</t>
    </rPh>
    <rPh sb="4" eb="5">
      <t>マナ</t>
    </rPh>
    <rPh sb="6" eb="8">
      <t>キキン</t>
    </rPh>
    <phoneticPr fontId="10"/>
  </si>
  <si>
    <t>妻</t>
    <rPh sb="0" eb="1">
      <t>ツマ</t>
    </rPh>
    <phoneticPr fontId="3"/>
  </si>
  <si>
    <t>構成</t>
    <rPh sb="0" eb="2">
      <t>コウセイ</t>
    </rPh>
    <phoneticPr fontId="2"/>
  </si>
  <si>
    <t>我が家の計画</t>
    <rPh sb="0" eb="1">
      <t>ワ</t>
    </rPh>
    <rPh sb="2" eb="3">
      <t>ヤ</t>
    </rPh>
    <rPh sb="4" eb="6">
      <t>ケイカク</t>
    </rPh>
    <phoneticPr fontId="2"/>
  </si>
  <si>
    <t>第一子</t>
    <rPh sb="0" eb="1">
      <t>ダイ</t>
    </rPh>
    <rPh sb="1" eb="3">
      <t>イッシ</t>
    </rPh>
    <phoneticPr fontId="10"/>
  </si>
  <si>
    <t>第二子</t>
    <rPh sb="0" eb="1">
      <t>ダイ</t>
    </rPh>
    <rPh sb="1" eb="3">
      <t>ニシ</t>
    </rPh>
    <phoneticPr fontId="10"/>
  </si>
  <si>
    <t>第三子</t>
    <rPh sb="0" eb="1">
      <t>ダイ</t>
    </rPh>
    <rPh sb="1" eb="2">
      <t>サン</t>
    </rPh>
    <rPh sb="2" eb="3">
      <t>シ</t>
    </rPh>
    <phoneticPr fontId="10"/>
  </si>
  <si>
    <t>その他・一時的</t>
    <rPh sb="2" eb="3">
      <t>ホカ</t>
    </rPh>
    <rPh sb="4" eb="7">
      <t>イチジテキ</t>
    </rPh>
    <phoneticPr fontId="2"/>
  </si>
  <si>
    <t>いいえの場合</t>
    <rPh sb="4" eb="6">
      <t>バアイ</t>
    </rPh>
    <phoneticPr fontId="10"/>
  </si>
  <si>
    <t>家屋</t>
    <rPh sb="0" eb="2">
      <t>カオク</t>
    </rPh>
    <phoneticPr fontId="2"/>
  </si>
  <si>
    <t>土地</t>
    <rPh sb="0" eb="2">
      <t>トチ</t>
    </rPh>
    <phoneticPr fontId="2"/>
  </si>
  <si>
    <t>取得年</t>
    <rPh sb="0" eb="2">
      <t>シュトク</t>
    </rPh>
    <rPh sb="2" eb="3">
      <t>ネン</t>
    </rPh>
    <phoneticPr fontId="2"/>
  </si>
  <si>
    <t>取得後経過年数</t>
    <rPh sb="0" eb="2">
      <t>シュトク</t>
    </rPh>
    <rPh sb="2" eb="3">
      <t>ゴ</t>
    </rPh>
    <rPh sb="3" eb="5">
      <t>ケイカ</t>
    </rPh>
    <rPh sb="5" eb="7">
      <t>ネンスウ</t>
    </rPh>
    <phoneticPr fontId="2"/>
  </si>
  <si>
    <t>経過年数</t>
    <rPh sb="0" eb="2">
      <t>ケイカ</t>
    </rPh>
    <rPh sb="2" eb="4">
      <t>ネンスウ</t>
    </rPh>
    <phoneticPr fontId="2"/>
  </si>
  <si>
    <t>＝F28</t>
    <phoneticPr fontId="2"/>
  </si>
  <si>
    <t>購入価格</t>
    <rPh sb="0" eb="2">
      <t>コウニュウ</t>
    </rPh>
    <rPh sb="2" eb="4">
      <t>カカク</t>
    </rPh>
    <phoneticPr fontId="2"/>
  </si>
  <si>
    <t>×0.7</t>
    <phoneticPr fontId="2"/>
  </si>
  <si>
    <t>×1／２</t>
    <phoneticPr fontId="2"/>
  </si>
  <si>
    <t>最後まで</t>
    <rPh sb="0" eb="2">
      <t>サイゴ</t>
    </rPh>
    <phoneticPr fontId="2"/>
  </si>
  <si>
    <t>建物</t>
    <rPh sb="0" eb="2">
      <t>タテモノ</t>
    </rPh>
    <phoneticPr fontId="2"/>
  </si>
  <si>
    <t>経過年数</t>
    <rPh sb="0" eb="2">
      <t>ケイカ</t>
    </rPh>
    <rPh sb="2" eb="4">
      <t>ネンスウ</t>
    </rPh>
    <phoneticPr fontId="2"/>
  </si>
  <si>
    <t>×1／6</t>
    <phoneticPr fontId="2"/>
  </si>
  <si>
    <t>経過年数関係なし</t>
    <rPh sb="0" eb="2">
      <t>ケイカ</t>
    </rPh>
    <rPh sb="2" eb="4">
      <t>ネンスウ</t>
    </rPh>
    <rPh sb="4" eb="6">
      <t>カンケイ</t>
    </rPh>
    <phoneticPr fontId="2"/>
  </si>
  <si>
    <r>
      <t>（固定資産税）　　　</t>
    </r>
    <r>
      <rPr>
        <sz val="10"/>
        <color indexed="10"/>
        <rFont val="ＭＳ Ｐゴシック"/>
        <family val="3"/>
        <charset val="128"/>
      </rPr>
      <t>※税率は1.4％で算出</t>
    </r>
    <rPh sb="1" eb="3">
      <t>コテイ</t>
    </rPh>
    <rPh sb="3" eb="6">
      <t>シサンゼイ</t>
    </rPh>
    <rPh sb="11" eb="13">
      <t>ゼイリツ</t>
    </rPh>
    <rPh sb="19" eb="21">
      <t>サンシュツ</t>
    </rPh>
    <phoneticPr fontId="2"/>
  </si>
  <si>
    <t>合計（時価）</t>
    <rPh sb="0" eb="2">
      <t>ゴウケイ</t>
    </rPh>
    <rPh sb="3" eb="5">
      <t>ジカ</t>
    </rPh>
    <phoneticPr fontId="2"/>
  </si>
  <si>
    <t>軽減固定資産税額</t>
    <rPh sb="0" eb="2">
      <t>ケイゲン</t>
    </rPh>
    <rPh sb="2" eb="4">
      <t>コテイ</t>
    </rPh>
    <rPh sb="4" eb="6">
      <t>シサン</t>
    </rPh>
    <rPh sb="6" eb="8">
      <t>ゼイガク</t>
    </rPh>
    <phoneticPr fontId="2"/>
  </si>
  <si>
    <t>全体で4年1/2、後2年で1/3減額</t>
    <rPh sb="0" eb="2">
      <t>ゼンタイ</t>
    </rPh>
    <rPh sb="4" eb="5">
      <t>ネン</t>
    </rPh>
    <rPh sb="9" eb="10">
      <t>ノチ</t>
    </rPh>
    <rPh sb="11" eb="12">
      <t>ネン</t>
    </rPh>
    <rPh sb="16" eb="18">
      <t>ゲンガク</t>
    </rPh>
    <phoneticPr fontId="2"/>
  </si>
  <si>
    <t>年間　収支</t>
    <rPh sb="0" eb="2">
      <t>ネンカン</t>
    </rPh>
    <rPh sb="3" eb="5">
      <t>シュウシ</t>
    </rPh>
    <phoneticPr fontId="2"/>
  </si>
  <si>
    <t>枠に入力してください。</t>
    <rPh sb="0" eb="1">
      <t>ワク</t>
    </rPh>
    <rPh sb="2" eb="4">
      <t>ニュウリョク</t>
    </rPh>
    <phoneticPr fontId="2"/>
  </si>
  <si>
    <t>収入1</t>
    <rPh sb="0" eb="2">
      <t>シュウニュウ</t>
    </rPh>
    <phoneticPr fontId="2"/>
  </si>
  <si>
    <t>収入2</t>
    <rPh sb="0" eb="2">
      <t>シュウニュウ</t>
    </rPh>
    <phoneticPr fontId="2"/>
  </si>
  <si>
    <t>シート№２　年間収入・支出集計表</t>
    <rPh sb="6" eb="8">
      <t>ネンカン</t>
    </rPh>
    <rPh sb="8" eb="10">
      <t>シュウニュウ</t>
    </rPh>
    <rPh sb="11" eb="13">
      <t>シシュツ</t>
    </rPh>
    <rPh sb="13" eb="16">
      <t>シュウケイヒョウ</t>
    </rPh>
    <phoneticPr fontId="18"/>
  </si>
  <si>
    <t>収入（「収入1」「収入2」に入力すると、シート1収入欄の左から1～2行目の</t>
    <rPh sb="0" eb="2">
      <t>シュウニュウ</t>
    </rPh>
    <rPh sb="4" eb="6">
      <t>シュウニュウ</t>
    </rPh>
    <rPh sb="9" eb="11">
      <t>シュウニュウ</t>
    </rPh>
    <rPh sb="14" eb="16">
      <t>ニュウリョク</t>
    </rPh>
    <rPh sb="24" eb="26">
      <t>シュウニュウ</t>
    </rPh>
    <rPh sb="26" eb="27">
      <t>ラン</t>
    </rPh>
    <rPh sb="28" eb="29">
      <t>ヒダリ</t>
    </rPh>
    <rPh sb="34" eb="36">
      <t>ギョウメ</t>
    </rPh>
    <phoneticPr fontId="2"/>
  </si>
  <si>
    <t>収入欄にそれぞれ反映します。）</t>
    <rPh sb="0" eb="2">
      <t>シュウニュウ</t>
    </rPh>
    <rPh sb="2" eb="3">
      <t>ラン</t>
    </rPh>
    <rPh sb="8" eb="10">
      <t>ハンエイ</t>
    </rPh>
    <phoneticPr fontId="2"/>
  </si>
  <si>
    <t>※家族の年齢は1月1日現在,学校・学年は4月1日現在のものです。そのため,1月～3月生まれの方の学年は1年遅れて計算しています。教育費・学び基金の金額は,年度分を暦年分に計上しています。</t>
    <rPh sb="1" eb="3">
      <t>カゾク</t>
    </rPh>
    <rPh sb="4" eb="6">
      <t>ネンレイ</t>
    </rPh>
    <rPh sb="8" eb="9">
      <t>ガツ</t>
    </rPh>
    <rPh sb="10" eb="11">
      <t>ヒ</t>
    </rPh>
    <rPh sb="11" eb="13">
      <t>ゲンザイ</t>
    </rPh>
    <rPh sb="14" eb="16">
      <t>ガッコウ</t>
    </rPh>
    <rPh sb="17" eb="19">
      <t>ガクネン</t>
    </rPh>
    <rPh sb="21" eb="22">
      <t>ガツ</t>
    </rPh>
    <rPh sb="23" eb="24">
      <t>ヒ</t>
    </rPh>
    <rPh sb="24" eb="26">
      <t>ゲンザイ</t>
    </rPh>
    <rPh sb="38" eb="39">
      <t>ガツ</t>
    </rPh>
    <rPh sb="41" eb="42">
      <t>ガツ</t>
    </rPh>
    <rPh sb="42" eb="43">
      <t>ウ</t>
    </rPh>
    <rPh sb="46" eb="47">
      <t>カタ</t>
    </rPh>
    <rPh sb="48" eb="50">
      <t>ガクネン</t>
    </rPh>
    <rPh sb="52" eb="53">
      <t>ネン</t>
    </rPh>
    <rPh sb="53" eb="54">
      <t>オク</t>
    </rPh>
    <rPh sb="56" eb="58">
      <t>ケイサン</t>
    </rPh>
    <phoneticPr fontId="2"/>
  </si>
  <si>
    <t>※当初の貯蓄残高は相談時のものであり、各年の貯蓄残高、ローン残高は12月末時点です。また、ローン借り入れは1月、返済額は1年分を記載します。</t>
    <rPh sb="1" eb="3">
      <t>トウショ</t>
    </rPh>
    <rPh sb="4" eb="6">
      <t>チョチク</t>
    </rPh>
    <rPh sb="6" eb="8">
      <t>ザンダカ</t>
    </rPh>
    <rPh sb="9" eb="11">
      <t>ソウダン</t>
    </rPh>
    <rPh sb="11" eb="12">
      <t>ジ</t>
    </rPh>
    <rPh sb="19" eb="20">
      <t>カク</t>
    </rPh>
    <rPh sb="20" eb="21">
      <t>ネン</t>
    </rPh>
    <rPh sb="22" eb="24">
      <t>チョチク</t>
    </rPh>
    <rPh sb="24" eb="26">
      <t>ザンダカ</t>
    </rPh>
    <rPh sb="30" eb="32">
      <t>ザンダカ</t>
    </rPh>
    <rPh sb="35" eb="36">
      <t>ガツ</t>
    </rPh>
    <rPh sb="36" eb="37">
      <t>マツ</t>
    </rPh>
    <rPh sb="37" eb="39">
      <t>ジテン</t>
    </rPh>
    <phoneticPr fontId="2"/>
  </si>
  <si>
    <t>※固定資産税の税率は1.4％、課税時期は翌年からとし、評価額は購入価格の70％で固定しています。また、住宅用地に対する特例措置（小規模住宅用地で1/6に減額）、　新築住宅に対する減額（一</t>
    <rPh sb="1" eb="3">
      <t>コテイ</t>
    </rPh>
    <rPh sb="3" eb="6">
      <t>シサンゼイ</t>
    </rPh>
    <rPh sb="7" eb="9">
      <t>ゼイリツ</t>
    </rPh>
    <rPh sb="15" eb="17">
      <t>カゼイ</t>
    </rPh>
    <rPh sb="17" eb="19">
      <t>ジキ</t>
    </rPh>
    <rPh sb="20" eb="22">
      <t>ヨクネン</t>
    </rPh>
    <rPh sb="27" eb="29">
      <t>ヒョウカ</t>
    </rPh>
    <rPh sb="29" eb="30">
      <t>ガク</t>
    </rPh>
    <rPh sb="31" eb="33">
      <t>コウニュウ</t>
    </rPh>
    <rPh sb="33" eb="35">
      <t>カカク</t>
    </rPh>
    <rPh sb="40" eb="42">
      <t>コテイ</t>
    </rPh>
    <rPh sb="51" eb="53">
      <t>ジュウタク</t>
    </rPh>
    <rPh sb="53" eb="55">
      <t>ヨウチ</t>
    </rPh>
    <rPh sb="56" eb="57">
      <t>タイ</t>
    </rPh>
    <rPh sb="59" eb="61">
      <t>トクレイ</t>
    </rPh>
    <rPh sb="61" eb="63">
      <t>ソチ</t>
    </rPh>
    <rPh sb="64" eb="67">
      <t>ショウキボ</t>
    </rPh>
    <rPh sb="67" eb="69">
      <t>ジュウタク</t>
    </rPh>
    <rPh sb="69" eb="71">
      <t>ヨウチ</t>
    </rPh>
    <rPh sb="76" eb="78">
      <t>ゲンガク</t>
    </rPh>
    <rPh sb="92" eb="93">
      <t>イチ</t>
    </rPh>
    <phoneticPr fontId="2"/>
  </si>
  <si>
    <t>　般住宅で3年間1/2）を減額しています。東日本大震災により滅失・損壊した家屋の代替家屋取得にかかる固定資産税の減免も適用しています。詳しくは各市町村税務課へお問い合わせください。</t>
    <rPh sb="1" eb="2">
      <t>ハン</t>
    </rPh>
    <rPh sb="2" eb="4">
      <t>ジュウタク</t>
    </rPh>
    <phoneticPr fontId="2"/>
  </si>
  <si>
    <t>※教育関連支出は幼稚園から高校までは「自宅・国公立」で塾等の習い事を含みます。また、大学は「自宅・国公立・文系」で授業料と入学金のみです。自宅外の場合の生活費は「その他・一時的」支出</t>
    <rPh sb="1" eb="3">
      <t>キョウイク</t>
    </rPh>
    <rPh sb="3" eb="5">
      <t>カンレン</t>
    </rPh>
    <rPh sb="5" eb="7">
      <t>シシュツ</t>
    </rPh>
    <rPh sb="8" eb="11">
      <t>ヨウチエン</t>
    </rPh>
    <rPh sb="13" eb="15">
      <t>コウコウ</t>
    </rPh>
    <rPh sb="19" eb="21">
      <t>ジタク</t>
    </rPh>
    <rPh sb="22" eb="25">
      <t>コクコウリツ</t>
    </rPh>
    <phoneticPr fontId="2"/>
  </si>
  <si>
    <t>支出（既存の全てのローンの支払いはこの欄の支出に入力しないでください）</t>
    <rPh sb="0" eb="2">
      <t>シシュツ</t>
    </rPh>
    <rPh sb="3" eb="5">
      <t>キゾン</t>
    </rPh>
    <rPh sb="6" eb="7">
      <t>スベ</t>
    </rPh>
    <rPh sb="13" eb="15">
      <t>シハラ</t>
    </rPh>
    <rPh sb="19" eb="20">
      <t>ラン</t>
    </rPh>
    <rPh sb="21" eb="23">
      <t>シシュツ</t>
    </rPh>
    <rPh sb="24" eb="26">
      <t>ニュウリョク</t>
    </rPh>
    <phoneticPr fontId="2"/>
  </si>
  <si>
    <t>既存</t>
    <rPh sb="0" eb="2">
      <t>キゾン</t>
    </rPh>
    <phoneticPr fontId="3"/>
  </si>
  <si>
    <t>新規</t>
    <rPh sb="0" eb="2">
      <t>シンキ</t>
    </rPh>
    <phoneticPr fontId="3"/>
  </si>
  <si>
    <t>シート1K18</t>
    <phoneticPr fontId="10"/>
  </si>
  <si>
    <t>(学び）</t>
  </si>
  <si>
    <t>学び</t>
    <rPh sb="0" eb="1">
      <t>マナ</t>
    </rPh>
    <phoneticPr fontId="10"/>
  </si>
  <si>
    <t>高校までの場合（学び）</t>
    <rPh sb="0" eb="2">
      <t>コウコウ</t>
    </rPh>
    <rPh sb="5" eb="7">
      <t>バアイ</t>
    </rPh>
    <rPh sb="8" eb="9">
      <t>マナ</t>
    </rPh>
    <phoneticPr fontId="10"/>
  </si>
  <si>
    <t>高校までの場合（教育費）</t>
    <rPh sb="0" eb="2">
      <t>コウコウ</t>
    </rPh>
    <rPh sb="5" eb="7">
      <t>バアイ</t>
    </rPh>
    <rPh sb="8" eb="11">
      <t>キョウイクヒ</t>
    </rPh>
    <phoneticPr fontId="10"/>
  </si>
  <si>
    <t>合計</t>
    <rPh sb="0" eb="2">
      <t>ゴウケイ</t>
    </rPh>
    <phoneticPr fontId="10"/>
  </si>
  <si>
    <t>-</t>
    <phoneticPr fontId="10"/>
  </si>
  <si>
    <t>本人</t>
    <rPh sb="0" eb="2">
      <t>ホンニン</t>
    </rPh>
    <phoneticPr fontId="2"/>
  </si>
  <si>
    <t>※FPからのコメント</t>
    <phoneticPr fontId="2"/>
  </si>
  <si>
    <t>妻</t>
    <rPh sb="0" eb="1">
      <t>ツマ</t>
    </rPh>
    <phoneticPr fontId="2"/>
  </si>
  <si>
    <t>この枠に入力出来ます。</t>
    <rPh sb="2" eb="3">
      <t>ワク</t>
    </rPh>
    <rPh sb="4" eb="6">
      <t>ニュウリョク</t>
    </rPh>
    <rPh sb="6" eb="8">
      <t>デキ</t>
    </rPh>
    <phoneticPr fontId="2"/>
  </si>
  <si>
    <t>夫</t>
    <rPh sb="0" eb="1">
      <t>オット</t>
    </rPh>
    <phoneticPr fontId="2"/>
  </si>
  <si>
    <t>父母</t>
    <rPh sb="0" eb="2">
      <t>フボ</t>
    </rPh>
    <phoneticPr fontId="2"/>
  </si>
  <si>
    <t>家の復興計画</t>
    <rPh sb="0" eb="1">
      <t>イエ</t>
    </rPh>
    <rPh sb="2" eb="4">
      <t>フッコウ</t>
    </rPh>
    <rPh sb="4" eb="6">
      <t>ケイカク</t>
    </rPh>
    <phoneticPr fontId="2"/>
  </si>
  <si>
    <t>兄弟姉妹</t>
    <rPh sb="0" eb="2">
      <t>キョウダイ</t>
    </rPh>
    <rPh sb="2" eb="4">
      <t>シマイ</t>
    </rPh>
    <phoneticPr fontId="2"/>
  </si>
  <si>
    <t>祖父母</t>
    <rPh sb="0" eb="3">
      <t>ソフボ</t>
    </rPh>
    <phoneticPr fontId="2"/>
  </si>
  <si>
    <t>本人</t>
    <rPh sb="0" eb="2">
      <t>ホンニン</t>
    </rPh>
    <phoneticPr fontId="2"/>
  </si>
  <si>
    <t>妻</t>
    <rPh sb="0" eb="1">
      <t>ツマ</t>
    </rPh>
    <phoneticPr fontId="2"/>
  </si>
  <si>
    <t>夫</t>
    <rPh sb="0" eb="1">
      <t>オット</t>
    </rPh>
    <phoneticPr fontId="2"/>
  </si>
  <si>
    <t>シミュレーションを行うにあたっての留意事項</t>
    <rPh sb="9" eb="10">
      <t>オコナ</t>
    </rPh>
    <rPh sb="17" eb="19">
      <t>リュウイ</t>
    </rPh>
    <rPh sb="19" eb="21">
      <t>ジコウ</t>
    </rPh>
    <phoneticPr fontId="2"/>
  </si>
  <si>
    <t>-</t>
    <phoneticPr fontId="2"/>
  </si>
  <si>
    <t>年1月１日現在）</t>
    <rPh sb="0" eb="1">
      <t>ネン</t>
    </rPh>
    <rPh sb="2" eb="3">
      <t>ガツ</t>
    </rPh>
    <rPh sb="4" eb="5">
      <t>ヒ</t>
    </rPh>
    <rPh sb="5" eb="7">
      <t>ゲンザイ</t>
    </rPh>
    <phoneticPr fontId="2"/>
  </si>
  <si>
    <t>子</t>
    <rPh sb="0" eb="1">
      <t>コ</t>
    </rPh>
    <phoneticPr fontId="2"/>
  </si>
  <si>
    <t>年齢</t>
    <rPh sb="0" eb="2">
      <t>ネンレイ</t>
    </rPh>
    <phoneticPr fontId="2"/>
  </si>
  <si>
    <t>-学び基金について-</t>
    <rPh sb="1" eb="2">
      <t>マナ</t>
    </rPh>
    <rPh sb="3" eb="5">
      <t>キキン</t>
    </rPh>
    <phoneticPr fontId="2"/>
  </si>
  <si>
    <t>※該当がない場合は「-」を選んでください。</t>
    <rPh sb="1" eb="3">
      <t>ガイトウ</t>
    </rPh>
    <rPh sb="6" eb="8">
      <t>バアイ</t>
    </rPh>
    <rPh sb="13" eb="14">
      <t>エラ</t>
    </rPh>
    <phoneticPr fontId="2"/>
  </si>
  <si>
    <t>父母</t>
    <rPh sb="0" eb="2">
      <t>フボ</t>
    </rPh>
    <phoneticPr fontId="2"/>
  </si>
  <si>
    <t>該当しますか？</t>
    <rPh sb="0" eb="2">
      <t>ガイトウ</t>
    </rPh>
    <phoneticPr fontId="2"/>
  </si>
  <si>
    <t>※年齢欄は直接入力してください。</t>
    <rPh sb="1" eb="3">
      <t>ネンレイ</t>
    </rPh>
    <rPh sb="3" eb="4">
      <t>ラン</t>
    </rPh>
    <rPh sb="5" eb="7">
      <t>チョクセツ</t>
    </rPh>
    <rPh sb="7" eb="9">
      <t>ニュウリョク</t>
    </rPh>
    <phoneticPr fontId="2"/>
  </si>
  <si>
    <t>兄弟姉妹</t>
    <rPh sb="0" eb="2">
      <t>キョウダイ</t>
    </rPh>
    <rPh sb="2" eb="4">
      <t>シマイ</t>
    </rPh>
    <phoneticPr fontId="2"/>
  </si>
  <si>
    <t>●　ライフプラン表</t>
    <rPh sb="8" eb="9">
      <t>ヒョウ</t>
    </rPh>
    <phoneticPr fontId="2"/>
  </si>
  <si>
    <t>単位：万円</t>
    <phoneticPr fontId="2"/>
  </si>
  <si>
    <t>祖父母</t>
    <rPh sb="0" eb="3">
      <t>ソフボ</t>
    </rPh>
    <phoneticPr fontId="2"/>
  </si>
  <si>
    <t>家族構成</t>
    <rPh sb="0" eb="2">
      <t>カゾク</t>
    </rPh>
    <rPh sb="2" eb="4">
      <t>コウセイ</t>
    </rPh>
    <phoneticPr fontId="2"/>
  </si>
  <si>
    <t>ローン</t>
    <phoneticPr fontId="2"/>
  </si>
  <si>
    <t>既存</t>
    <rPh sb="0" eb="2">
      <t>キゾン</t>
    </rPh>
    <phoneticPr fontId="2"/>
  </si>
  <si>
    <t>新規</t>
    <rPh sb="0" eb="2">
      <t>シンキ</t>
    </rPh>
    <phoneticPr fontId="2"/>
  </si>
  <si>
    <t>-</t>
    <phoneticPr fontId="2"/>
  </si>
  <si>
    <t>金利</t>
    <rPh sb="0" eb="2">
      <t>キンリ</t>
    </rPh>
    <phoneticPr fontId="2"/>
  </si>
  <si>
    <t>はい</t>
    <phoneticPr fontId="2"/>
  </si>
  <si>
    <t>返済回数</t>
    <rPh sb="0" eb="2">
      <t>ヘンサイ</t>
    </rPh>
    <rPh sb="2" eb="4">
      <t>カイスウ</t>
    </rPh>
    <phoneticPr fontId="2"/>
  </si>
  <si>
    <t>いいえ</t>
    <phoneticPr fontId="2"/>
  </si>
  <si>
    <t>開始年</t>
    <rPh sb="0" eb="2">
      <t>カイシ</t>
    </rPh>
    <rPh sb="2" eb="3">
      <t>ネン</t>
    </rPh>
    <phoneticPr fontId="2"/>
  </si>
  <si>
    <t>ライフイベント・具体的アクション</t>
    <phoneticPr fontId="2"/>
  </si>
  <si>
    <t>住宅関連</t>
    <rPh sb="0" eb="2">
      <t>ジュウタク</t>
    </rPh>
    <rPh sb="2" eb="4">
      <t>カンレン</t>
    </rPh>
    <phoneticPr fontId="2"/>
  </si>
  <si>
    <t>（内固定資産税）</t>
    <rPh sb="1" eb="2">
      <t>ウチ</t>
    </rPh>
    <rPh sb="2" eb="4">
      <t>コテイ</t>
    </rPh>
    <rPh sb="4" eb="7">
      <t>シサンゼイ</t>
    </rPh>
    <phoneticPr fontId="2"/>
  </si>
  <si>
    <t>マイカー</t>
    <phoneticPr fontId="2"/>
  </si>
  <si>
    <t>保険関連</t>
    <rPh sb="0" eb="2">
      <t>ホケン</t>
    </rPh>
    <rPh sb="2" eb="4">
      <t>カンレン</t>
    </rPh>
    <phoneticPr fontId="2"/>
  </si>
  <si>
    <t>残高合計</t>
    <rPh sb="0" eb="2">
      <t>ザンダカ</t>
    </rPh>
    <rPh sb="2" eb="4">
      <t>ゴウケイ</t>
    </rPh>
    <phoneticPr fontId="2"/>
  </si>
  <si>
    <t>シート№１　ライフプラン表（ＬＰ表）</t>
    <rPh sb="12" eb="13">
      <t>ヒョウ</t>
    </rPh>
    <rPh sb="16" eb="17">
      <t>ヒョウ</t>
    </rPh>
    <phoneticPr fontId="18"/>
  </si>
  <si>
    <t>年</t>
    <rPh sb="0" eb="1">
      <t>ネン</t>
    </rPh>
    <phoneticPr fontId="10"/>
  </si>
  <si>
    <t>20210401～</t>
    <phoneticPr fontId="10"/>
  </si>
  <si>
    <t>2020402～20190401</t>
    <phoneticPr fontId="10"/>
  </si>
  <si>
    <t>西暦</t>
    <rPh sb="0" eb="2">
      <t>セイレキ</t>
    </rPh>
    <phoneticPr fontId="2"/>
  </si>
  <si>
    <t>■家族構成（</t>
    <rPh sb="1" eb="3">
      <t>カゾク</t>
    </rPh>
    <rPh sb="3" eb="5">
      <t>コウセイ</t>
    </rPh>
    <phoneticPr fontId="2"/>
  </si>
  <si>
    <t>はい</t>
  </si>
  <si>
    <t>学び基金</t>
    <rPh sb="0" eb="1">
      <t>マナ</t>
    </rPh>
    <rPh sb="1" eb="2">
      <t>キョウガク</t>
    </rPh>
    <rPh sb="2" eb="4">
      <t>キキン</t>
    </rPh>
    <phoneticPr fontId="2"/>
  </si>
  <si>
    <t>大学進学しますか？</t>
    <rPh sb="0" eb="2">
      <t>ダイガク</t>
    </rPh>
    <rPh sb="2" eb="4">
      <t>シンガク</t>
    </rPh>
    <phoneticPr fontId="2"/>
  </si>
  <si>
    <t>その他
一時的</t>
    <rPh sb="2" eb="3">
      <t>タ</t>
    </rPh>
    <rPh sb="4" eb="7">
      <t>イチジテキ</t>
    </rPh>
    <phoneticPr fontId="2"/>
  </si>
  <si>
    <t>その他
一時的</t>
    <rPh sb="2" eb="3">
      <t>ホカ</t>
    </rPh>
    <rPh sb="4" eb="7">
      <t>イチジテキ</t>
    </rPh>
    <phoneticPr fontId="2"/>
  </si>
  <si>
    <r>
      <rPr>
        <b/>
        <sz val="14"/>
        <color indexed="10"/>
        <rFont val="ＭＳ Ｐゴシック"/>
        <family val="3"/>
        <charset val="128"/>
      </rPr>
      <t xml:space="preserve">収入（シート2から入力 ）
</t>
    </r>
    <r>
      <rPr>
        <b/>
        <sz val="11"/>
        <rFont val="ＭＳ Ｐゴシック"/>
        <family val="3"/>
        <charset val="128"/>
      </rPr>
      <t>※2年目以降は収入に応じて直接入力してください</t>
    </r>
    <rPh sb="0" eb="2">
      <t>シュウニュウ</t>
    </rPh>
    <rPh sb="9" eb="11">
      <t>ニュウリョク</t>
    </rPh>
    <rPh sb="16" eb="18">
      <t>ネンメ</t>
    </rPh>
    <rPh sb="18" eb="20">
      <t>イコウ</t>
    </rPh>
    <rPh sb="21" eb="23">
      <t>シュウニュウ</t>
    </rPh>
    <rPh sb="24" eb="25">
      <t>オウ</t>
    </rPh>
    <rPh sb="27" eb="29">
      <t>チョクセツ</t>
    </rPh>
    <rPh sb="29" eb="31">
      <t>ニュウリョク</t>
    </rPh>
    <phoneticPr fontId="2"/>
  </si>
  <si>
    <r>
      <rPr>
        <b/>
        <sz val="14"/>
        <color indexed="10"/>
        <rFont val="ＭＳ Ｐゴシック"/>
        <family val="3"/>
        <charset val="128"/>
      </rPr>
      <t>支出（シート2から入力）　</t>
    </r>
    <r>
      <rPr>
        <b/>
        <sz val="14"/>
        <rFont val="ＭＳ Ｐゴシック"/>
        <family val="3"/>
        <charset val="128"/>
      </rPr>
      <t xml:space="preserve">　　　　　　　　　　　　　　　　　　　　　　　        
</t>
    </r>
    <r>
      <rPr>
        <b/>
        <sz val="11"/>
        <rFont val="ＭＳ Ｐゴシック"/>
        <family val="3"/>
        <charset val="128"/>
      </rPr>
      <t>※2年目以降は支出に応じて直接入力してください</t>
    </r>
    <rPh sb="0" eb="2">
      <t>シシュツ</t>
    </rPh>
    <rPh sb="9" eb="11">
      <t>ニュウリョク</t>
    </rPh>
    <rPh sb="47" eb="49">
      <t>ネンメ</t>
    </rPh>
    <rPh sb="49" eb="51">
      <t>イコウ</t>
    </rPh>
    <rPh sb="52" eb="54">
      <t>シシュツ</t>
    </rPh>
    <rPh sb="55" eb="56">
      <t>オウ</t>
    </rPh>
    <rPh sb="58" eb="60">
      <t>チョクセツ</t>
    </rPh>
    <rPh sb="60" eb="62">
      <t>ニュウリョク</t>
    </rPh>
    <phoneticPr fontId="2"/>
  </si>
  <si>
    <t>基本
生活費</t>
    <rPh sb="0" eb="2">
      <t>キホン</t>
    </rPh>
    <rPh sb="3" eb="6">
      <t>セイカツヒ</t>
    </rPh>
    <phoneticPr fontId="2"/>
  </si>
  <si>
    <t>ローン
返済</t>
    <rPh sb="4" eb="6">
      <t>ヘンサイ</t>
    </rPh>
    <phoneticPr fontId="2"/>
  </si>
  <si>
    <t>貯蓄
残高</t>
    <rPh sb="0" eb="2">
      <t>チョチク</t>
    </rPh>
    <rPh sb="3" eb="5">
      <t>ザンダカ</t>
    </rPh>
    <phoneticPr fontId="2"/>
  </si>
  <si>
    <t>自宅を想定</t>
    <rPh sb="0" eb="2">
      <t>ジタク</t>
    </rPh>
    <rPh sb="3" eb="5">
      <t>ソウテイ</t>
    </rPh>
    <phoneticPr fontId="10"/>
  </si>
  <si>
    <t>教育費／学び希望基金（大学に進学しない場合〉</t>
    <rPh sb="0" eb="3">
      <t>キョウイクヒ</t>
    </rPh>
    <rPh sb="4" eb="5">
      <t>マナ</t>
    </rPh>
    <rPh sb="6" eb="8">
      <t>キボウ</t>
    </rPh>
    <rPh sb="8" eb="10">
      <t>キキン</t>
    </rPh>
    <rPh sb="11" eb="13">
      <t>ダイガク</t>
    </rPh>
    <rPh sb="14" eb="16">
      <t>シンガク</t>
    </rPh>
    <rPh sb="19" eb="21">
      <t>バアイ</t>
    </rPh>
    <phoneticPr fontId="10"/>
  </si>
  <si>
    <t>↑</t>
    <phoneticPr fontId="2"/>
  </si>
  <si>
    <t>HP公開の際は非表示とする。</t>
    <rPh sb="2" eb="4">
      <t>コウカイ</t>
    </rPh>
    <rPh sb="5" eb="6">
      <t>サイ</t>
    </rPh>
    <rPh sb="7" eb="10">
      <t>ヒヒョウジ</t>
    </rPh>
    <phoneticPr fontId="2"/>
  </si>
  <si>
    <r>
      <rPr>
        <sz val="6"/>
        <color indexed="10"/>
        <rFont val="ＭＳ Ｐゴシック"/>
        <family val="3"/>
        <charset val="128"/>
      </rPr>
      <t>※「学び基金に該当する」を選択した場合、震災後に誕生した子についても学び基金が給付される前提で計算されますのでご留意ください。</t>
    </r>
    <r>
      <rPr>
        <sz val="6"/>
        <color indexed="8"/>
        <rFont val="ＭＳ Ｐゴシック"/>
        <family val="3"/>
        <charset val="128"/>
      </rPr>
      <t xml:space="preserve">
※ローンの新規借入れは、同額を融資を受けた年の「その他・一時的」収入に加えてください。</t>
    </r>
    <phoneticPr fontId="2"/>
  </si>
  <si>
    <r>
      <t>　に適宜入力してください。</t>
    </r>
    <r>
      <rPr>
        <sz val="6"/>
        <color indexed="10"/>
        <rFont val="ＭＳ Ｐゴシック"/>
        <family val="3"/>
        <charset val="128"/>
      </rPr>
      <t>（教育費は2019年の統計データより計上）</t>
    </r>
    <rPh sb="14" eb="17">
      <t>キョウイクヒ</t>
    </rPh>
    <rPh sb="22" eb="23">
      <t>ネン</t>
    </rPh>
    <rPh sb="24" eb="26">
      <t>トウケイ</t>
    </rPh>
    <rPh sb="31" eb="33">
      <t>ケイジョウ</t>
    </rPh>
    <phoneticPr fontId="2"/>
  </si>
  <si>
    <t>いいえ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</si>
</sst>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General&quot;回&quot;"/>
    <numFmt numFmtId="178" formatCode="0.0%"/>
    <numFmt numFmtId="179" formatCode="General&quot;万円&quot;"/>
    <numFmt numFmtId="180" formatCode="0_);[Red]\(0\)"/>
    <numFmt numFmtId="181" formatCode="0;_"/>
    <numFmt numFmtId="182" formatCode="[$-411]ggge&quot;年&quot;"/>
    <numFmt numFmtId="183" formatCode="#,##0_ ;[Red]\-#,##0\ "/>
  </numFmts>
  <fonts count="5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b/>
      <sz val="11"/>
      <color indexed="56"/>
      <name val="ＭＳ Ｐゴシック"/>
      <family val="3"/>
      <charset val="128"/>
    </font>
    <font>
      <b/>
      <sz val="11"/>
      <color indexed="8"/>
      <name val="ＭＳ Ｐゴシック"/>
      <family val="3"/>
      <charset val="128"/>
    </font>
    <font>
      <b/>
      <sz val="12"/>
      <color indexed="8"/>
      <name val="ＭＳ Ｐゴシック"/>
      <family val="3"/>
      <charset val="128"/>
    </font>
    <font>
      <b/>
      <sz val="14"/>
      <color indexed="8"/>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b/>
      <sz val="11"/>
      <color indexed="8"/>
      <name val="ＭＳ Ｐゴシック"/>
      <family val="3"/>
      <charset val="128"/>
    </font>
    <font>
      <sz val="11"/>
      <name val="ＭＳ Ｐゴシック"/>
      <family val="3"/>
      <charset val="128"/>
    </font>
    <font>
      <b/>
      <sz val="11"/>
      <color indexed="8"/>
      <name val="ＭＳ Ｐゴシック"/>
      <family val="3"/>
      <charset val="128"/>
    </font>
    <font>
      <b/>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1"/>
      <name val="ＭＳ Ｐゴシック"/>
      <family val="3"/>
      <charset val="128"/>
    </font>
    <font>
      <b/>
      <sz val="16"/>
      <name val="HG創英角ｺﾞｼｯｸUB"/>
      <family val="3"/>
      <charset val="128"/>
    </font>
    <font>
      <b/>
      <sz val="10"/>
      <color indexed="8"/>
      <name val="ＭＳ Ｐゴシック"/>
      <family val="3"/>
      <charset val="128"/>
    </font>
    <font>
      <sz val="10"/>
      <color indexed="10"/>
      <name val="ＭＳ Ｐゴシック"/>
      <family val="3"/>
      <charset val="128"/>
    </font>
    <font>
      <b/>
      <sz val="14"/>
      <name val="ＭＳ Ｐゴシック"/>
      <family val="3"/>
      <charset val="128"/>
    </font>
    <font>
      <sz val="11"/>
      <color indexed="8"/>
      <name val="ＭＳ Ｐゴシック"/>
      <family val="3"/>
      <charset val="128"/>
    </font>
    <font>
      <sz val="11"/>
      <color indexed="9"/>
      <name val="ＭＳ Ｐゴシック"/>
      <family val="3"/>
      <charset val="128"/>
    </font>
    <font>
      <b/>
      <sz val="11"/>
      <name val="ＭＳ Ｐゴシック"/>
      <family val="3"/>
      <charset val="128"/>
    </font>
    <font>
      <sz val="11"/>
      <color indexed="10"/>
      <name val="ＭＳ Ｐゴシック"/>
      <family val="3"/>
      <charset val="128"/>
    </font>
    <font>
      <b/>
      <sz val="11"/>
      <color indexed="8"/>
      <name val="ＭＳ Ｐゴシック"/>
      <family val="3"/>
      <charset val="128"/>
    </font>
    <font>
      <sz val="11"/>
      <color indexed="62"/>
      <name val="ＭＳ Ｐゴシック"/>
      <family val="3"/>
      <charset val="128"/>
    </font>
    <font>
      <sz val="11"/>
      <color indexed="44"/>
      <name val="ＭＳ Ｐゴシック"/>
      <family val="3"/>
      <charset val="128"/>
    </font>
    <font>
      <sz val="36"/>
      <color indexed="8"/>
      <name val="ＭＳ Ｐゴシック"/>
      <family val="3"/>
      <charset val="128"/>
    </font>
    <font>
      <sz val="18"/>
      <color indexed="8"/>
      <name val="ＭＳ Ｐゴシック"/>
      <family val="3"/>
      <charset val="128"/>
    </font>
    <font>
      <sz val="18"/>
      <color indexed="10"/>
      <name val="ＭＳ Ｐゴシック"/>
      <family val="3"/>
      <charset val="128"/>
    </font>
    <font>
      <sz val="11"/>
      <color indexed="30"/>
      <name val="ＭＳ Ｐゴシック"/>
      <family val="3"/>
      <charset val="128"/>
    </font>
    <font>
      <b/>
      <sz val="11"/>
      <color indexed="62"/>
      <name val="ＭＳ Ｐゴシック"/>
      <family val="3"/>
      <charset val="128"/>
    </font>
    <font>
      <sz val="8"/>
      <color indexed="8"/>
      <name val="ＭＳ Ｐゴシック"/>
      <family val="3"/>
      <charset val="128"/>
    </font>
    <font>
      <sz val="6"/>
      <color indexed="8"/>
      <name val="ＭＳ Ｐゴシック"/>
      <family val="3"/>
      <charset val="128"/>
    </font>
    <font>
      <b/>
      <sz val="8"/>
      <color indexed="62"/>
      <name val="ＭＳ Ｐゴシック"/>
      <family val="3"/>
      <charset val="128"/>
    </font>
    <font>
      <sz val="24"/>
      <color indexed="8"/>
      <name val="ＭＳ Ｐゴシック"/>
      <family val="3"/>
      <charset val="128"/>
    </font>
    <font>
      <sz val="22"/>
      <color indexed="8"/>
      <name val="ＭＳ Ｐゴシック"/>
      <family val="3"/>
      <charset val="128"/>
    </font>
    <font>
      <b/>
      <sz val="11"/>
      <color indexed="9"/>
      <name val="ＭＳ Ｐゴシック"/>
      <family val="3"/>
      <charset val="128"/>
    </font>
    <font>
      <sz val="8"/>
      <color indexed="9"/>
      <name val="ＭＳ Ｐゴシック"/>
      <family val="3"/>
      <charset val="128"/>
    </font>
    <font>
      <b/>
      <sz val="14"/>
      <color indexed="10"/>
      <name val="ＭＳ Ｐゴシック"/>
      <family val="3"/>
      <charset val="128"/>
    </font>
    <font>
      <sz val="12"/>
      <color indexed="8"/>
      <name val="ＭＳ Ｐゴシック"/>
      <family val="3"/>
      <charset val="128"/>
    </font>
    <font>
      <sz val="12"/>
      <name val="ＭＳ Ｐゴシック"/>
      <family val="3"/>
      <charset val="128"/>
    </font>
    <font>
      <sz val="6"/>
      <color indexed="10"/>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8"/>
      <color rgb="FFFF0000"/>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31"/>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10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medium">
        <color indexed="64"/>
      </top>
      <bottom style="double">
        <color indexed="64"/>
      </bottom>
      <diagonal/>
    </border>
    <border>
      <left style="hair">
        <color indexed="64"/>
      </left>
      <right style="thin">
        <color indexed="64"/>
      </right>
      <top style="medium">
        <color indexed="64"/>
      </top>
      <bottom style="double">
        <color indexed="64"/>
      </bottom>
      <diagonal/>
    </border>
    <border>
      <left style="thin">
        <color indexed="64"/>
      </left>
      <right/>
      <top/>
      <bottom style="double">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double">
        <color indexed="64"/>
      </top>
      <bottom style="thin">
        <color indexed="64"/>
      </bottom>
      <diagonal/>
    </border>
    <border>
      <left style="medium">
        <color indexed="64"/>
      </left>
      <right style="medium">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uble">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s>
  <cellStyleXfs count="5">
    <xf numFmtId="0" fontId="0" fillId="0" borderId="0">
      <alignment vertical="center"/>
    </xf>
    <xf numFmtId="0" fontId="27" fillId="2" borderId="1" applyNumberFormat="0" applyFont="0" applyFill="0" applyBorder="0" applyAlignment="0">
      <alignment horizontal="center" vertical="center"/>
      <protection hidden="1"/>
    </xf>
    <xf numFmtId="9" fontId="11" fillId="0" borderId="0" applyFont="0" applyFill="0" applyBorder="0" applyAlignment="0" applyProtection="0">
      <alignment vertical="center"/>
    </xf>
    <xf numFmtId="38" fontId="11" fillId="0" borderId="0" applyFont="0" applyFill="0" applyBorder="0" applyAlignment="0" applyProtection="0">
      <alignment vertical="center"/>
    </xf>
    <xf numFmtId="0" fontId="48" fillId="0" borderId="0">
      <alignment vertical="center"/>
    </xf>
  </cellStyleXfs>
  <cellXfs count="512">
    <xf numFmtId="0" fontId="0" fillId="0" borderId="0" xfId="0">
      <alignment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6" fillId="0" borderId="2" xfId="0" applyFont="1" applyBorder="1" applyAlignment="1">
      <alignment horizontal="right" vertical="center"/>
    </xf>
    <xf numFmtId="0" fontId="0" fillId="3" borderId="3" xfId="0" applyFill="1" applyBorder="1" applyAlignment="1">
      <alignment horizontal="center" vertical="center"/>
    </xf>
    <xf numFmtId="0" fontId="0" fillId="0" borderId="3" xfId="0" applyFill="1" applyBorder="1">
      <alignment vertical="center"/>
    </xf>
    <xf numFmtId="0" fontId="0" fillId="4" borderId="2" xfId="0" applyFill="1" applyBorder="1" applyAlignment="1">
      <alignment horizontal="right" vertical="center"/>
    </xf>
    <xf numFmtId="0" fontId="0" fillId="4" borderId="2" xfId="0" applyFill="1" applyBorder="1">
      <alignment vertical="center"/>
    </xf>
    <xf numFmtId="0" fontId="0" fillId="0" borderId="3" xfId="0" applyBorder="1">
      <alignment vertical="center"/>
    </xf>
    <xf numFmtId="0" fontId="12" fillId="0" borderId="4" xfId="0" applyFont="1" applyFill="1" applyBorder="1" applyAlignment="1">
      <alignment horizontal="center" vertical="center"/>
    </xf>
    <xf numFmtId="0" fontId="6" fillId="0" borderId="5" xfId="0" applyFont="1" applyBorder="1" applyAlignment="1">
      <alignment horizontal="right" vertical="center"/>
    </xf>
    <xf numFmtId="38" fontId="0" fillId="0" borderId="2" xfId="0" applyNumberFormat="1" applyBorder="1" applyAlignment="1">
      <alignment vertical="center"/>
    </xf>
    <xf numFmtId="38" fontId="29" fillId="0" borderId="2" xfId="3" applyFont="1" applyBorder="1" applyAlignment="1">
      <alignment horizontal="center" vertical="center"/>
    </xf>
    <xf numFmtId="0" fontId="29" fillId="5" borderId="2" xfId="0" applyFont="1" applyFill="1" applyBorder="1" applyAlignment="1">
      <alignment horizontal="center" vertical="center"/>
    </xf>
    <xf numFmtId="0" fontId="29" fillId="6" borderId="2" xfId="0" applyFont="1" applyFill="1" applyBorder="1" applyAlignment="1">
      <alignment horizontal="center" vertical="center"/>
    </xf>
    <xf numFmtId="0" fontId="12" fillId="0" borderId="3" xfId="0" applyFont="1" applyFill="1" applyBorder="1" applyAlignment="1">
      <alignment horizontal="center" vertical="center"/>
    </xf>
    <xf numFmtId="0" fontId="13" fillId="3" borderId="3" xfId="0" applyFont="1" applyFill="1" applyBorder="1" applyAlignment="1">
      <alignment horizontal="center" vertical="center"/>
    </xf>
    <xf numFmtId="0" fontId="0" fillId="3" borderId="5" xfId="0" applyFill="1" applyBorder="1" applyAlignment="1">
      <alignment horizontal="center" vertical="center"/>
    </xf>
    <xf numFmtId="0" fontId="0" fillId="4" borderId="5" xfId="0" applyFill="1" applyBorder="1">
      <alignment vertical="center"/>
    </xf>
    <xf numFmtId="38" fontId="0" fillId="0" borderId="3" xfId="0" applyNumberFormat="1" applyBorder="1">
      <alignment vertical="center"/>
    </xf>
    <xf numFmtId="0" fontId="29" fillId="6" borderId="3" xfId="0" applyFont="1" applyFill="1" applyBorder="1" applyAlignment="1">
      <alignment horizontal="center" vertical="center"/>
    </xf>
    <xf numFmtId="38" fontId="25" fillId="0" borderId="2" xfId="3" applyFont="1" applyBorder="1">
      <alignment vertical="center"/>
    </xf>
    <xf numFmtId="10" fontId="25" fillId="0" borderId="2" xfId="2" applyNumberFormat="1" applyFont="1" applyBorder="1">
      <alignment vertical="center"/>
    </xf>
    <xf numFmtId="38" fontId="25" fillId="0" borderId="0" xfId="3" applyFont="1">
      <alignment vertical="center"/>
    </xf>
    <xf numFmtId="38" fontId="25" fillId="0" borderId="6" xfId="3" applyFont="1" applyBorder="1">
      <alignment vertical="center"/>
    </xf>
    <xf numFmtId="176" fontId="0" fillId="0" borderId="2" xfId="0" applyNumberFormat="1" applyBorder="1">
      <alignment vertical="center"/>
    </xf>
    <xf numFmtId="0" fontId="14" fillId="0" borderId="7" xfId="0" applyFont="1" applyBorder="1" applyAlignment="1">
      <alignment horizontal="right" vertical="center"/>
    </xf>
    <xf numFmtId="0" fontId="0" fillId="2" borderId="0" xfId="0" applyFill="1">
      <alignment vertical="center"/>
    </xf>
    <xf numFmtId="0" fontId="0" fillId="2" borderId="0" xfId="0" applyFill="1" applyBorder="1">
      <alignment vertical="center"/>
    </xf>
    <xf numFmtId="0" fontId="0" fillId="2" borderId="0" xfId="0" applyFill="1" applyBorder="1" applyAlignment="1">
      <alignment horizontal="center" vertical="center"/>
    </xf>
    <xf numFmtId="0" fontId="29" fillId="2" borderId="0" xfId="0" applyFont="1" applyFill="1">
      <alignment vertical="center"/>
    </xf>
    <xf numFmtId="0" fontId="0" fillId="2" borderId="0" xfId="0" applyFill="1" applyBorder="1" applyAlignment="1">
      <alignment horizontal="right" vertical="center"/>
    </xf>
    <xf numFmtId="0" fontId="0" fillId="2" borderId="0" xfId="0" applyFill="1" applyAlignment="1">
      <alignment horizontal="right" vertical="center"/>
    </xf>
    <xf numFmtId="0" fontId="6" fillId="2" borderId="0" xfId="0" applyFont="1" applyFill="1" applyAlignment="1">
      <alignment horizontal="left" vertical="center"/>
    </xf>
    <xf numFmtId="0" fontId="13" fillId="2" borderId="0" xfId="0" applyFont="1" applyFill="1" applyBorder="1" applyAlignment="1">
      <alignment horizontal="center" vertical="center"/>
    </xf>
    <xf numFmtId="0" fontId="0" fillId="2" borderId="6" xfId="0" applyFill="1" applyBorder="1">
      <alignment vertical="center"/>
    </xf>
    <xf numFmtId="0" fontId="0" fillId="2" borderId="8" xfId="0" applyFill="1" applyBorder="1">
      <alignment vertical="center"/>
    </xf>
    <xf numFmtId="0" fontId="0" fillId="2" borderId="1" xfId="0" applyFill="1" applyBorder="1">
      <alignment vertical="center"/>
    </xf>
    <xf numFmtId="10" fontId="25" fillId="2" borderId="0" xfId="2" applyNumberFormat="1" applyFont="1" applyFill="1" applyBorder="1">
      <alignment vertical="center"/>
    </xf>
    <xf numFmtId="0" fontId="0" fillId="2" borderId="2" xfId="0" applyFill="1" applyBorder="1" applyAlignment="1">
      <alignment horizontal="center" vertical="center"/>
    </xf>
    <xf numFmtId="38" fontId="25" fillId="2" borderId="0" xfId="3" applyFont="1" applyFill="1">
      <alignment vertical="center"/>
    </xf>
    <xf numFmtId="0" fontId="0" fillId="4" borderId="2" xfId="0" applyNumberFormat="1" applyFill="1" applyBorder="1" applyAlignment="1">
      <alignment horizontal="right" vertical="center"/>
    </xf>
    <xf numFmtId="38" fontId="25" fillId="2" borderId="0" xfId="3" applyFont="1" applyFill="1" applyAlignment="1">
      <alignment horizontal="right" vertical="center"/>
    </xf>
    <xf numFmtId="38" fontId="13" fillId="3" borderId="9" xfId="3" applyFont="1" applyFill="1" applyBorder="1" applyAlignment="1">
      <alignment horizontal="center" vertical="center"/>
    </xf>
    <xf numFmtId="38" fontId="25" fillId="4" borderId="10" xfId="3" applyFont="1" applyFill="1" applyBorder="1">
      <alignment vertical="center"/>
    </xf>
    <xf numFmtId="38" fontId="25" fillId="4" borderId="11" xfId="3" applyFont="1" applyFill="1" applyBorder="1">
      <alignment vertical="center"/>
    </xf>
    <xf numFmtId="38" fontId="12" fillId="0" borderId="12" xfId="3" applyFont="1" applyFill="1" applyBorder="1">
      <alignment vertical="center"/>
    </xf>
    <xf numFmtId="38" fontId="25" fillId="3" borderId="9" xfId="3" applyFont="1" applyFill="1" applyBorder="1" applyAlignment="1">
      <alignment horizontal="center" vertical="center"/>
    </xf>
    <xf numFmtId="38" fontId="6" fillId="0" borderId="12" xfId="3" applyFont="1" applyBorder="1" applyAlignment="1">
      <alignment horizontal="right" vertical="center"/>
    </xf>
    <xf numFmtId="0" fontId="0" fillId="4" borderId="5" xfId="0" applyFill="1" applyBorder="1" applyAlignment="1">
      <alignment horizontal="right" vertical="center"/>
    </xf>
    <xf numFmtId="38" fontId="0" fillId="0" borderId="2" xfId="0" applyNumberFormat="1" applyBorder="1">
      <alignment vertical="center"/>
    </xf>
    <xf numFmtId="0" fontId="0" fillId="2" borderId="0" xfId="0" applyFill="1" applyAlignment="1" applyProtection="1">
      <alignment horizontal="center" vertical="center"/>
    </xf>
    <xf numFmtId="0" fontId="0" fillId="2" borderId="0" xfId="0" applyFill="1" applyProtection="1">
      <alignment vertical="center"/>
      <protection locked="0"/>
    </xf>
    <xf numFmtId="0" fontId="0" fillId="2" borderId="0" xfId="0" applyFill="1" applyBorder="1" applyProtection="1">
      <alignment vertical="center"/>
      <protection locked="0"/>
    </xf>
    <xf numFmtId="0" fontId="0" fillId="0" borderId="0" xfId="0" applyFill="1" applyAlignment="1" applyProtection="1">
      <alignment horizontal="center" vertical="center"/>
    </xf>
    <xf numFmtId="0" fontId="0" fillId="0" borderId="0" xfId="0" applyFill="1" applyBorder="1" applyAlignment="1" applyProtection="1">
      <alignment horizontal="center" vertical="center"/>
    </xf>
    <xf numFmtId="0" fontId="5" fillId="0" borderId="0" xfId="0" applyFont="1" applyFill="1" applyBorder="1" applyAlignment="1" applyProtection="1">
      <alignment horizontal="left" vertical="center"/>
    </xf>
    <xf numFmtId="0" fontId="31" fillId="0" borderId="0" xfId="0" applyFont="1" applyFill="1" applyAlignment="1" applyProtection="1">
      <alignment horizontal="right" vertical="center"/>
    </xf>
    <xf numFmtId="0" fontId="0" fillId="2" borderId="0" xfId="0" applyFill="1" applyBorder="1" applyAlignment="1" applyProtection="1">
      <alignment horizontal="center" vertical="center"/>
    </xf>
    <xf numFmtId="0" fontId="0" fillId="2" borderId="0" xfId="0" applyFill="1" applyAlignment="1" applyProtection="1">
      <alignment horizontal="right" vertical="center"/>
    </xf>
    <xf numFmtId="0" fontId="31" fillId="2" borderId="13" xfId="0" applyFont="1" applyFill="1" applyBorder="1" applyAlignment="1" applyProtection="1">
      <alignment horizontal="right" vertical="center"/>
    </xf>
    <xf numFmtId="0" fontId="33" fillId="2" borderId="14" xfId="0" applyFont="1" applyFill="1" applyBorder="1" applyAlignment="1" applyProtection="1">
      <alignment horizontal="center" vertical="center"/>
    </xf>
    <xf numFmtId="0" fontId="33" fillId="2" borderId="15"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0" fontId="34" fillId="2" borderId="0" xfId="0" applyFont="1" applyFill="1" applyBorder="1" applyAlignment="1" applyProtection="1">
      <alignment horizontal="center" vertical="center"/>
    </xf>
    <xf numFmtId="0" fontId="28" fillId="2" borderId="0" xfId="0" applyFont="1" applyFill="1" applyBorder="1" applyAlignment="1" applyProtection="1">
      <alignment horizontal="center" vertical="center"/>
    </xf>
    <xf numFmtId="0" fontId="34" fillId="2" borderId="14" xfId="0" applyFont="1" applyFill="1" applyBorder="1" applyAlignment="1" applyProtection="1">
      <alignment horizontal="center" vertical="center"/>
    </xf>
    <xf numFmtId="0" fontId="0" fillId="2" borderId="16" xfId="0" applyFill="1" applyBorder="1" applyAlignment="1" applyProtection="1">
      <alignment horizontal="center" vertical="center"/>
    </xf>
    <xf numFmtId="0" fontId="31" fillId="2" borderId="0" xfId="0" applyFont="1" applyFill="1" applyBorder="1" applyAlignment="1" applyProtection="1">
      <alignment horizontal="center" vertical="center"/>
    </xf>
    <xf numFmtId="0" fontId="35" fillId="2" borderId="0" xfId="0" applyFont="1" applyFill="1" applyBorder="1" applyAlignment="1" applyProtection="1">
      <alignment horizontal="center" vertical="center"/>
    </xf>
    <xf numFmtId="38" fontId="35" fillId="2" borderId="0" xfId="3" applyFont="1" applyFill="1" applyBorder="1" applyAlignment="1" applyProtection="1">
      <alignment horizontal="center" vertical="center"/>
    </xf>
    <xf numFmtId="0" fontId="6" fillId="2" borderId="0" xfId="0" applyFont="1" applyFill="1" applyBorder="1" applyAlignment="1" applyProtection="1">
      <alignment horizontal="right" vertical="center"/>
    </xf>
    <xf numFmtId="0" fontId="31" fillId="2" borderId="17" xfId="0" applyFont="1" applyFill="1" applyBorder="1" applyAlignment="1" applyProtection="1">
      <alignment horizontal="right" vertical="center"/>
    </xf>
    <xf numFmtId="0" fontId="36" fillId="7" borderId="0" xfId="0" applyFont="1" applyFill="1" applyBorder="1" applyAlignment="1" applyProtection="1">
      <alignment horizontal="center" vertical="center"/>
    </xf>
    <xf numFmtId="0" fontId="0" fillId="7" borderId="0" xfId="0" applyFill="1" applyBorder="1" applyAlignment="1" applyProtection="1">
      <alignment horizontal="center" vertical="center"/>
    </xf>
    <xf numFmtId="0" fontId="0" fillId="7" borderId="13" xfId="0" applyFill="1" applyBorder="1" applyAlignment="1" applyProtection="1">
      <alignment horizontal="center" vertical="center"/>
    </xf>
    <xf numFmtId="58" fontId="4" fillId="7" borderId="0" xfId="0" applyNumberFormat="1" applyFont="1" applyFill="1" applyBorder="1" applyAlignment="1" applyProtection="1">
      <alignment horizontal="center" vertical="center"/>
    </xf>
    <xf numFmtId="0" fontId="28" fillId="7" borderId="16" xfId="0" applyFont="1" applyFill="1" applyBorder="1" applyAlignment="1" applyProtection="1">
      <alignment horizontal="center" vertical="center"/>
    </xf>
    <xf numFmtId="0" fontId="28" fillId="7" borderId="18" xfId="0" applyFont="1" applyFill="1" applyBorder="1" applyAlignment="1" applyProtection="1">
      <alignment horizontal="center" vertical="center"/>
    </xf>
    <xf numFmtId="0" fontId="0" fillId="7" borderId="14" xfId="0" applyFill="1" applyBorder="1" applyAlignment="1" applyProtection="1">
      <alignment horizontal="center" vertical="center"/>
    </xf>
    <xf numFmtId="0" fontId="0" fillId="7" borderId="4" xfId="0" applyFill="1" applyBorder="1" applyAlignment="1" applyProtection="1">
      <alignment horizontal="center" vertical="center"/>
    </xf>
    <xf numFmtId="0" fontId="0" fillId="2" borderId="15" xfId="0" applyFill="1" applyBorder="1" applyProtection="1">
      <alignment vertical="center"/>
      <protection locked="0"/>
    </xf>
    <xf numFmtId="0" fontId="0" fillId="2" borderId="16" xfId="0" applyFill="1" applyBorder="1" applyProtection="1">
      <alignment vertical="center"/>
      <protection locked="0"/>
    </xf>
    <xf numFmtId="0" fontId="29" fillId="2" borderId="0" xfId="0" applyFont="1" applyFill="1" applyBorder="1" applyProtection="1">
      <alignment vertical="center"/>
      <protection locked="0"/>
    </xf>
    <xf numFmtId="0" fontId="0" fillId="2" borderId="0" xfId="0" applyFill="1" applyProtection="1">
      <alignment vertical="center"/>
    </xf>
    <xf numFmtId="0" fontId="0" fillId="2" borderId="13" xfId="0" applyFill="1" applyBorder="1" applyProtection="1">
      <alignment vertical="center"/>
    </xf>
    <xf numFmtId="0" fontId="0" fillId="2" borderId="0" xfId="0" applyFill="1" applyBorder="1" applyProtection="1">
      <alignment vertical="center"/>
    </xf>
    <xf numFmtId="0" fontId="7" fillId="2" borderId="0" xfId="0" applyFont="1" applyFill="1" applyBorder="1" applyProtection="1">
      <alignment vertical="center"/>
    </xf>
    <xf numFmtId="38" fontId="25" fillId="2" borderId="0" xfId="3" applyFont="1" applyFill="1" applyBorder="1" applyProtection="1">
      <alignment vertical="center"/>
      <protection locked="0"/>
    </xf>
    <xf numFmtId="0" fontId="0" fillId="2" borderId="18" xfId="0" applyFill="1" applyBorder="1" applyProtection="1">
      <alignment vertical="center"/>
    </xf>
    <xf numFmtId="0" fontId="0" fillId="2" borderId="13" xfId="0" applyFill="1" applyBorder="1" applyProtection="1">
      <alignment vertical="center"/>
      <protection locked="0"/>
    </xf>
    <xf numFmtId="0" fontId="6" fillId="2" borderId="0" xfId="0" applyFont="1" applyFill="1" applyBorder="1" applyProtection="1">
      <alignment vertical="center"/>
      <protection locked="0"/>
    </xf>
    <xf numFmtId="0" fontId="0" fillId="2" borderId="18" xfId="0" applyFill="1" applyBorder="1" applyAlignment="1" applyProtection="1">
      <alignment horizontal="right" vertical="center"/>
      <protection locked="0"/>
    </xf>
    <xf numFmtId="0" fontId="29" fillId="2" borderId="0" xfId="0" applyFont="1" applyFill="1" applyBorder="1" applyAlignment="1" applyProtection="1">
      <alignment vertical="center" wrapText="1"/>
      <protection locked="0"/>
    </xf>
    <xf numFmtId="0" fontId="37" fillId="2" borderId="0" xfId="0" applyFont="1"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0" xfId="0" applyFill="1" applyBorder="1" applyAlignment="1" applyProtection="1">
      <alignment horizontal="center" vertical="center" wrapText="1"/>
      <protection locked="0"/>
    </xf>
    <xf numFmtId="3" fontId="0" fillId="2" borderId="0" xfId="0" applyNumberFormat="1" applyFill="1" applyBorder="1" applyAlignment="1" applyProtection="1">
      <alignment horizontal="right" vertical="center" wrapText="1"/>
      <protection locked="0"/>
    </xf>
    <xf numFmtId="0" fontId="0" fillId="2" borderId="18" xfId="0" applyFill="1" applyBorder="1" applyProtection="1">
      <alignment vertical="center"/>
      <protection locked="0"/>
    </xf>
    <xf numFmtId="0" fontId="0" fillId="2" borderId="0" xfId="0" applyFill="1" applyBorder="1" applyAlignment="1" applyProtection="1">
      <alignment vertical="center"/>
      <protection locked="0"/>
    </xf>
    <xf numFmtId="0" fontId="0" fillId="2" borderId="0" xfId="0" applyFill="1" applyBorder="1" applyAlignment="1" applyProtection="1">
      <alignment horizontal="right" vertical="center"/>
      <protection locked="0"/>
    </xf>
    <xf numFmtId="0" fontId="0" fillId="2" borderId="0" xfId="0" applyFill="1" applyAlignment="1" applyProtection="1">
      <alignment horizontal="center"/>
      <protection locked="0"/>
    </xf>
    <xf numFmtId="0" fontId="0" fillId="2" borderId="0" xfId="0" applyFill="1" applyAlignment="1"/>
    <xf numFmtId="0" fontId="0" fillId="2" borderId="0" xfId="0" applyFill="1" applyAlignment="1">
      <alignment horizontal="center"/>
    </xf>
    <xf numFmtId="0" fontId="28" fillId="2" borderId="0" xfId="0" applyFont="1"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179" fontId="29" fillId="2" borderId="0" xfId="0" applyNumberFormat="1" applyFont="1" applyFill="1" applyBorder="1" applyAlignment="1" applyProtection="1">
      <alignment horizontal="center" vertical="center"/>
      <protection locked="0"/>
    </xf>
    <xf numFmtId="178" fontId="29" fillId="2" borderId="0" xfId="2" applyNumberFormat="1" applyFont="1" applyFill="1" applyBorder="1" applyAlignment="1" applyProtection="1">
      <alignment horizontal="center" vertical="center"/>
      <protection locked="0"/>
    </xf>
    <xf numFmtId="0" fontId="0" fillId="2" borderId="0" xfId="0" quotePrefix="1" applyFill="1" applyProtection="1">
      <alignment vertical="center"/>
      <protection locked="0"/>
    </xf>
    <xf numFmtId="57" fontId="0" fillId="2" borderId="0" xfId="0" applyNumberFormat="1" applyFill="1" applyProtection="1">
      <alignment vertical="center"/>
      <protection locked="0"/>
    </xf>
    <xf numFmtId="182" fontId="0" fillId="2" borderId="0" xfId="0" applyNumberFormat="1" applyFill="1" applyProtection="1">
      <alignment vertical="center"/>
      <protection locked="0"/>
    </xf>
    <xf numFmtId="176" fontId="0" fillId="2" borderId="0" xfId="0" applyNumberFormat="1" applyFill="1" applyProtection="1">
      <alignment vertical="center"/>
      <protection locked="0"/>
    </xf>
    <xf numFmtId="0" fontId="0" fillId="2" borderId="0" xfId="0" applyFill="1" applyAlignment="1" applyProtection="1">
      <alignment horizontal="left"/>
      <protection locked="0"/>
    </xf>
    <xf numFmtId="0" fontId="0" fillId="2" borderId="0" xfId="0" applyFill="1" applyAlignment="1" applyProtection="1">
      <protection locked="0"/>
    </xf>
    <xf numFmtId="0" fontId="0" fillId="2" borderId="0" xfId="0" applyFill="1" applyAlignment="1" applyProtection="1">
      <alignment horizontal="center" vertical="center"/>
      <protection locked="0"/>
    </xf>
    <xf numFmtId="0" fontId="7" fillId="2" borderId="18" xfId="0" applyFont="1" applyFill="1" applyBorder="1" applyAlignment="1" applyProtection="1">
      <alignment horizontal="right" vertical="center"/>
    </xf>
    <xf numFmtId="0" fontId="0" fillId="2" borderId="17" xfId="0" applyFill="1" applyBorder="1" applyProtection="1">
      <alignment vertical="center"/>
    </xf>
    <xf numFmtId="0" fontId="0" fillId="2" borderId="14" xfId="0" applyFill="1" applyBorder="1" applyProtection="1">
      <alignment vertical="center"/>
    </xf>
    <xf numFmtId="0" fontId="6" fillId="2" borderId="14" xfId="0" applyFont="1" applyFill="1" applyBorder="1" applyAlignment="1" applyProtection="1">
      <alignment horizontal="center" vertical="center"/>
    </xf>
    <xf numFmtId="0" fontId="7" fillId="2" borderId="19" xfId="0" applyFont="1" applyFill="1" applyBorder="1" applyAlignment="1" applyProtection="1">
      <alignment horizontal="right" vertical="center"/>
    </xf>
    <xf numFmtId="0" fontId="0" fillId="7" borderId="2" xfId="0" applyFill="1" applyBorder="1" applyProtection="1">
      <alignment vertical="center"/>
    </xf>
    <xf numFmtId="0" fontId="0" fillId="7" borderId="2" xfId="0" applyFill="1" applyBorder="1" applyAlignment="1" applyProtection="1">
      <alignment horizontal="center" vertical="center"/>
    </xf>
    <xf numFmtId="0" fontId="0" fillId="7" borderId="2" xfId="0" quotePrefix="1" applyFill="1" applyBorder="1" applyAlignment="1" applyProtection="1">
      <alignment horizontal="center" vertical="center"/>
    </xf>
    <xf numFmtId="0" fontId="0" fillId="7" borderId="20" xfId="0" quotePrefix="1" applyFill="1" applyBorder="1" applyAlignment="1" applyProtection="1">
      <alignment horizontal="center" vertical="center" wrapText="1"/>
    </xf>
    <xf numFmtId="0" fontId="0" fillId="7" borderId="20" xfId="0" applyFill="1" applyBorder="1" applyAlignment="1" applyProtection="1">
      <alignment horizontal="center" vertical="center"/>
    </xf>
    <xf numFmtId="0" fontId="0" fillId="8" borderId="2" xfId="0" applyFill="1" applyBorder="1" applyAlignment="1" applyProtection="1">
      <alignment horizontal="right" vertical="center"/>
      <protection locked="0"/>
    </xf>
    <xf numFmtId="0" fontId="0" fillId="8" borderId="2" xfId="0" applyFill="1" applyBorder="1" applyProtection="1">
      <alignment vertical="center"/>
      <protection locked="0"/>
    </xf>
    <xf numFmtId="0" fontId="0" fillId="8" borderId="6" xfId="0" applyFill="1" applyBorder="1" applyAlignment="1" applyProtection="1">
      <alignment horizontal="right" vertical="center"/>
      <protection locked="0"/>
    </xf>
    <xf numFmtId="0" fontId="0" fillId="8" borderId="6" xfId="0" applyFill="1" applyBorder="1" applyProtection="1">
      <alignment vertical="center"/>
      <protection locked="0"/>
    </xf>
    <xf numFmtId="0" fontId="0" fillId="8" borderId="8" xfId="0" applyFill="1" applyBorder="1" applyAlignment="1" applyProtection="1">
      <alignment horizontal="center" vertical="center"/>
      <protection locked="0"/>
    </xf>
    <xf numFmtId="0" fontId="0" fillId="8" borderId="21" xfId="0" applyFill="1" applyBorder="1" applyProtection="1">
      <alignment vertical="center"/>
      <protection locked="0"/>
    </xf>
    <xf numFmtId="0" fontId="0" fillId="8" borderId="21" xfId="0" applyFill="1" applyBorder="1" applyAlignment="1" applyProtection="1">
      <alignment horizontal="center" vertical="center"/>
      <protection locked="0"/>
    </xf>
    <xf numFmtId="176" fontId="0" fillId="8" borderId="1" xfId="0" applyNumberFormat="1" applyFill="1" applyBorder="1" applyAlignment="1" applyProtection="1">
      <alignment vertical="center" wrapText="1"/>
      <protection locked="0"/>
    </xf>
    <xf numFmtId="176" fontId="0" fillId="8" borderId="2" xfId="0" applyNumberFormat="1" applyFill="1" applyBorder="1" applyAlignment="1" applyProtection="1">
      <alignment vertical="center" wrapText="1"/>
      <protection locked="0"/>
    </xf>
    <xf numFmtId="0" fontId="6" fillId="8" borderId="1" xfId="0" applyFont="1" applyFill="1" applyBorder="1" applyAlignment="1" applyProtection="1">
      <alignment horizontal="center" vertical="center"/>
      <protection locked="0"/>
    </xf>
    <xf numFmtId="0" fontId="6" fillId="8" borderId="2" xfId="0" applyFont="1" applyFill="1" applyBorder="1" applyAlignment="1" applyProtection="1">
      <alignment horizontal="center" vertical="center"/>
      <protection locked="0"/>
    </xf>
    <xf numFmtId="0" fontId="0" fillId="8" borderId="22" xfId="0" applyFill="1" applyBorder="1" applyAlignment="1" applyProtection="1">
      <alignment vertical="center"/>
      <protection locked="0"/>
    </xf>
    <xf numFmtId="0" fontId="0" fillId="8" borderId="2" xfId="0" applyFill="1" applyBorder="1" applyAlignment="1" applyProtection="1">
      <alignment vertical="center"/>
      <protection locked="0"/>
    </xf>
    <xf numFmtId="0" fontId="6" fillId="8" borderId="6" xfId="0" applyFont="1" applyFill="1" applyBorder="1" applyAlignment="1" applyProtection="1">
      <alignment horizontal="center" vertical="center"/>
      <protection locked="0"/>
    </xf>
    <xf numFmtId="0" fontId="0" fillId="8" borderId="1" xfId="0" applyFill="1" applyBorder="1" applyAlignment="1" applyProtection="1">
      <alignment horizontal="right" vertical="center"/>
      <protection locked="0"/>
    </xf>
    <xf numFmtId="0" fontId="0" fillId="2" borderId="23" xfId="0" applyFill="1" applyBorder="1" applyProtection="1">
      <alignment vertical="center"/>
    </xf>
    <xf numFmtId="0" fontId="0" fillId="7" borderId="3" xfId="0" applyFill="1" applyBorder="1" applyProtection="1">
      <alignment vertical="center"/>
    </xf>
    <xf numFmtId="0" fontId="0" fillId="7" borderId="22" xfId="0" applyFill="1" applyBorder="1" applyProtection="1">
      <alignment vertical="center"/>
    </xf>
    <xf numFmtId="0" fontId="6" fillId="7" borderId="24" xfId="0" applyFont="1" applyFill="1" applyBorder="1" applyAlignment="1" applyProtection="1">
      <alignment horizontal="center" vertical="center"/>
    </xf>
    <xf numFmtId="0" fontId="6" fillId="7" borderId="25" xfId="0" applyFont="1" applyFill="1" applyBorder="1" applyAlignment="1" applyProtection="1">
      <alignment horizontal="right" vertical="center"/>
    </xf>
    <xf numFmtId="0" fontId="0" fillId="7" borderId="4" xfId="0" applyFill="1" applyBorder="1" applyProtection="1">
      <alignment vertical="center"/>
      <protection locked="0"/>
    </xf>
    <xf numFmtId="0" fontId="28" fillId="7" borderId="1" xfId="0" applyFont="1" applyFill="1" applyBorder="1" applyAlignment="1" applyProtection="1">
      <alignment vertical="center" wrapText="1"/>
    </xf>
    <xf numFmtId="0" fontId="28" fillId="7" borderId="2" xfId="0" applyFont="1" applyFill="1" applyBorder="1" applyAlignment="1" applyProtection="1">
      <alignment vertical="center" wrapText="1"/>
    </xf>
    <xf numFmtId="0" fontId="0" fillId="7" borderId="26" xfId="0" applyFill="1" applyBorder="1" applyProtection="1">
      <alignment vertical="center"/>
    </xf>
    <xf numFmtId="176" fontId="0" fillId="7" borderId="2" xfId="0" applyNumberFormat="1" applyFill="1" applyBorder="1" applyAlignment="1" applyProtection="1">
      <alignment vertical="center" wrapText="1"/>
      <protection locked="0"/>
    </xf>
    <xf numFmtId="0" fontId="6" fillId="7" borderId="27" xfId="0" applyFont="1" applyFill="1" applyBorder="1" applyAlignment="1" applyProtection="1">
      <alignment horizontal="center" vertical="center"/>
    </xf>
    <xf numFmtId="181" fontId="6" fillId="7" borderId="28" xfId="0" applyNumberFormat="1" applyFont="1" applyFill="1" applyBorder="1" applyAlignment="1" applyProtection="1">
      <alignment horizontal="right" vertical="center"/>
    </xf>
    <xf numFmtId="0" fontId="0" fillId="7" borderId="0" xfId="0" applyFill="1" applyBorder="1" applyProtection="1">
      <alignment vertical="center"/>
    </xf>
    <xf numFmtId="0" fontId="0" fillId="7" borderId="22" xfId="0" applyFill="1" applyBorder="1" applyAlignment="1" applyProtection="1">
      <alignment vertical="center"/>
      <protection locked="0"/>
    </xf>
    <xf numFmtId="0" fontId="0" fillId="7" borderId="4" xfId="0" applyFill="1" applyBorder="1" applyAlignment="1" applyProtection="1">
      <alignment vertical="center"/>
    </xf>
    <xf numFmtId="0" fontId="0" fillId="7" borderId="22" xfId="0" applyFill="1" applyBorder="1" applyAlignment="1" applyProtection="1">
      <alignment horizontal="right" vertical="center"/>
    </xf>
    <xf numFmtId="0" fontId="6" fillId="7" borderId="29" xfId="0" applyFont="1" applyFill="1" applyBorder="1" applyAlignment="1" applyProtection="1">
      <alignment horizontal="center" vertical="center"/>
    </xf>
    <xf numFmtId="0" fontId="6" fillId="7" borderId="30" xfId="0" applyFont="1" applyFill="1" applyBorder="1" applyAlignment="1" applyProtection="1">
      <alignment horizontal="right" vertical="center"/>
    </xf>
    <xf numFmtId="181" fontId="7" fillId="7" borderId="25" xfId="0" applyNumberFormat="1" applyFont="1" applyFill="1" applyBorder="1" applyAlignment="1" applyProtection="1">
      <alignment horizontal="right" vertical="center"/>
    </xf>
    <xf numFmtId="0" fontId="0" fillId="8" borderId="31" xfId="0" applyFill="1" applyBorder="1" applyAlignment="1" applyProtection="1">
      <alignment horizontal="center" vertical="center"/>
    </xf>
    <xf numFmtId="0" fontId="0" fillId="7" borderId="20" xfId="0" applyFill="1" applyBorder="1" applyAlignment="1" applyProtection="1">
      <alignment horizontal="right" vertical="center"/>
    </xf>
    <xf numFmtId="0" fontId="0" fillId="7" borderId="32" xfId="0" applyFill="1" applyBorder="1" applyAlignment="1" applyProtection="1">
      <alignment horizontal="right" vertical="center"/>
    </xf>
    <xf numFmtId="0" fontId="0" fillId="7" borderId="33" xfId="0" applyFill="1" applyBorder="1" applyAlignment="1" applyProtection="1">
      <alignment horizontal="right" vertical="center"/>
    </xf>
    <xf numFmtId="0" fontId="0" fillId="7" borderId="34" xfId="0" applyFill="1" applyBorder="1" applyAlignment="1" applyProtection="1">
      <alignment horizontal="right" vertical="center"/>
    </xf>
    <xf numFmtId="0" fontId="0" fillId="7" borderId="35" xfId="0" applyFill="1" applyBorder="1" applyAlignment="1" applyProtection="1">
      <alignment horizontal="right" vertical="center"/>
    </xf>
    <xf numFmtId="0" fontId="42" fillId="2" borderId="0" xfId="0" applyFont="1" applyFill="1" applyAlignment="1" applyProtection="1">
      <alignment horizontal="right" vertical="center"/>
    </xf>
    <xf numFmtId="0" fontId="43" fillId="2" borderId="13" xfId="0" applyFont="1" applyFill="1" applyBorder="1" applyAlignment="1" applyProtection="1">
      <alignment horizontal="right" vertical="center"/>
    </xf>
    <xf numFmtId="0" fontId="0" fillId="2" borderId="0" xfId="0" applyFill="1" applyBorder="1" applyAlignment="1" applyProtection="1">
      <alignment horizontal="left" vertical="center"/>
    </xf>
    <xf numFmtId="0" fontId="6" fillId="2" borderId="36" xfId="0" applyFont="1" applyFill="1" applyBorder="1" applyProtection="1">
      <alignment vertical="center"/>
      <protection locked="0"/>
    </xf>
    <xf numFmtId="0" fontId="35" fillId="7" borderId="0" xfId="0" applyFont="1" applyFill="1" applyBorder="1" applyAlignment="1" applyProtection="1">
      <alignment horizontal="left" vertical="center"/>
    </xf>
    <xf numFmtId="38" fontId="35" fillId="7" borderId="0" xfId="3" applyFont="1" applyFill="1" applyBorder="1" applyAlignment="1" applyProtection="1">
      <alignment horizontal="left" vertical="center"/>
    </xf>
    <xf numFmtId="0" fontId="0" fillId="7" borderId="0" xfId="0" applyFill="1" applyBorder="1" applyAlignment="1" applyProtection="1">
      <alignment horizontal="left" vertical="center"/>
    </xf>
    <xf numFmtId="0" fontId="38" fillId="2" borderId="0" xfId="0" applyFont="1" applyFill="1" applyBorder="1" applyAlignment="1" applyProtection="1">
      <alignment horizontal="left" vertical="center"/>
    </xf>
    <xf numFmtId="0" fontId="6" fillId="6" borderId="37" xfId="0" applyFont="1" applyFill="1" applyBorder="1" applyAlignment="1">
      <alignment horizontal="center" vertical="center"/>
    </xf>
    <xf numFmtId="38" fontId="0" fillId="2" borderId="0" xfId="0" applyNumberFormat="1" applyFill="1" applyAlignment="1" applyProtection="1">
      <alignment horizontal="center" vertical="center"/>
    </xf>
    <xf numFmtId="176" fontId="0" fillId="2" borderId="0" xfId="0" applyNumberFormat="1" applyFill="1" applyAlignment="1" applyProtection="1">
      <alignment horizontal="center" vertical="center"/>
    </xf>
    <xf numFmtId="0" fontId="20" fillId="8" borderId="38" xfId="0" applyFont="1" applyFill="1" applyBorder="1" applyAlignment="1" applyProtection="1">
      <alignment horizontal="center" vertical="center"/>
      <protection locked="0"/>
    </xf>
    <xf numFmtId="0" fontId="0" fillId="2" borderId="14" xfId="0" applyFill="1" applyBorder="1" applyAlignment="1" applyProtection="1">
      <alignment horizontal="right" vertical="center"/>
    </xf>
    <xf numFmtId="0" fontId="2" fillId="7" borderId="36" xfId="0" applyFont="1" applyFill="1" applyBorder="1" applyAlignment="1" applyProtection="1">
      <alignment horizontal="left" vertical="center"/>
    </xf>
    <xf numFmtId="0" fontId="35" fillId="7" borderId="15" xfId="0" applyFont="1" applyFill="1" applyBorder="1" applyAlignment="1" applyProtection="1">
      <alignment horizontal="left" vertical="center"/>
    </xf>
    <xf numFmtId="38" fontId="35" fillId="7" borderId="15" xfId="3" applyFont="1" applyFill="1" applyBorder="1" applyAlignment="1" applyProtection="1">
      <alignment horizontal="left" vertical="center"/>
    </xf>
    <xf numFmtId="0" fontId="0" fillId="7" borderId="15" xfId="0" applyFill="1" applyBorder="1" applyAlignment="1" applyProtection="1">
      <alignment horizontal="left" vertical="center"/>
    </xf>
    <xf numFmtId="0" fontId="35" fillId="7" borderId="16" xfId="0" applyFont="1" applyFill="1" applyBorder="1" applyAlignment="1" applyProtection="1">
      <alignment horizontal="left" vertical="center"/>
    </xf>
    <xf numFmtId="0" fontId="2" fillId="7" borderId="13" xfId="0" applyFont="1" applyFill="1" applyBorder="1" applyAlignment="1" applyProtection="1">
      <alignment horizontal="left" vertical="center"/>
    </xf>
    <xf numFmtId="0" fontId="35" fillId="7" borderId="18" xfId="0" applyFont="1" applyFill="1" applyBorder="1" applyAlignment="1" applyProtection="1">
      <alignment horizontal="left" vertical="center"/>
    </xf>
    <xf numFmtId="0" fontId="38" fillId="7" borderId="13" xfId="0" applyFont="1" applyFill="1" applyBorder="1" applyAlignment="1" applyProtection="1">
      <alignment horizontal="left" vertical="center"/>
    </xf>
    <xf numFmtId="0" fontId="0" fillId="2" borderId="15"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14" xfId="0" applyFill="1" applyBorder="1" applyAlignment="1" applyProtection="1">
      <alignment horizontal="center" vertical="center"/>
    </xf>
    <xf numFmtId="38" fontId="1" fillId="2" borderId="0" xfId="3" applyFont="1" applyFill="1" applyAlignment="1" applyProtection="1">
      <alignment horizontal="center" vertical="center"/>
    </xf>
    <xf numFmtId="0" fontId="26" fillId="2" borderId="36" xfId="0" applyFont="1" applyFill="1" applyBorder="1" applyAlignment="1" applyProtection="1">
      <alignment horizontal="right" vertical="center"/>
    </xf>
    <xf numFmtId="38" fontId="1" fillId="2" borderId="15" xfId="3" applyFont="1" applyFill="1" applyBorder="1" applyAlignment="1" applyProtection="1">
      <alignment horizontal="center" vertical="center"/>
    </xf>
    <xf numFmtId="0" fontId="26" fillId="2" borderId="13" xfId="0" applyFont="1" applyFill="1" applyBorder="1" applyAlignment="1" applyProtection="1">
      <alignment horizontal="right" vertical="center"/>
    </xf>
    <xf numFmtId="58" fontId="23" fillId="7" borderId="18" xfId="0" applyNumberFormat="1" applyFont="1" applyFill="1" applyBorder="1" applyAlignment="1" applyProtection="1">
      <alignment horizontal="center" vertical="center"/>
    </xf>
    <xf numFmtId="38" fontId="1" fillId="2" borderId="0" xfId="3" applyFont="1" applyFill="1" applyBorder="1" applyAlignment="1" applyProtection="1">
      <alignment horizontal="center" vertical="center"/>
    </xf>
    <xf numFmtId="38" fontId="1" fillId="2" borderId="0" xfId="3"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38" fontId="13" fillId="7" borderId="0" xfId="3" applyFont="1" applyFill="1" applyBorder="1" applyAlignment="1" applyProtection="1">
      <alignment horizontal="left" vertical="center"/>
    </xf>
    <xf numFmtId="0" fontId="13" fillId="7" borderId="18" xfId="0" applyFont="1" applyFill="1" applyBorder="1" applyAlignment="1" applyProtection="1">
      <alignment horizontal="left" vertical="center"/>
    </xf>
    <xf numFmtId="0" fontId="20" fillId="8" borderId="39" xfId="0" applyFont="1" applyFill="1" applyBorder="1" applyAlignment="1" applyProtection="1">
      <alignment horizontal="center" vertical="center"/>
      <protection locked="0"/>
    </xf>
    <xf numFmtId="0" fontId="20" fillId="8" borderId="38" xfId="0" applyFont="1" applyFill="1" applyBorder="1" applyAlignment="1" applyProtection="1">
      <alignment horizontal="center" vertical="center" wrapText="1"/>
      <protection locked="0"/>
    </xf>
    <xf numFmtId="0" fontId="20" fillId="8" borderId="30" xfId="0" applyFont="1" applyFill="1" applyBorder="1" applyAlignment="1" applyProtection="1">
      <alignment horizontal="center" vertical="center"/>
      <protection locked="0"/>
    </xf>
    <xf numFmtId="0" fontId="13" fillId="2" borderId="0" xfId="0" applyFont="1" applyFill="1" applyBorder="1" applyAlignment="1" applyProtection="1">
      <alignment horizontal="left" vertical="center"/>
    </xf>
    <xf numFmtId="38" fontId="13" fillId="2" borderId="0" xfId="3" applyFont="1" applyFill="1" applyBorder="1" applyAlignment="1" applyProtection="1">
      <alignment horizontal="left" vertical="center"/>
    </xf>
    <xf numFmtId="38" fontId="22" fillId="7" borderId="40" xfId="3" applyFont="1" applyFill="1" applyBorder="1" applyAlignment="1" applyProtection="1">
      <alignment horizontal="center" vertical="center"/>
    </xf>
    <xf numFmtId="38" fontId="6" fillId="7" borderId="31" xfId="3" applyFont="1" applyFill="1" applyBorder="1" applyAlignment="1" applyProtection="1">
      <alignment horizontal="center" vertical="center"/>
    </xf>
    <xf numFmtId="38" fontId="6" fillId="7" borderId="41" xfId="3" applyFont="1" applyFill="1" applyBorder="1" applyAlignment="1" applyProtection="1">
      <alignment horizontal="center" vertical="center"/>
    </xf>
    <xf numFmtId="0" fontId="22" fillId="7" borderId="7" xfId="0" applyFont="1" applyFill="1" applyBorder="1" applyAlignment="1" applyProtection="1">
      <alignment horizontal="center" vertical="center"/>
    </xf>
    <xf numFmtId="38" fontId="6" fillId="7" borderId="42" xfId="3" applyFont="1" applyFill="1" applyBorder="1" applyAlignment="1" applyProtection="1">
      <alignment horizontal="center" vertical="center"/>
    </xf>
    <xf numFmtId="38" fontId="13" fillId="7" borderId="43" xfId="3" applyFont="1" applyFill="1" applyBorder="1" applyAlignment="1" applyProtection="1">
      <alignment horizontal="center" vertical="center"/>
    </xf>
    <xf numFmtId="38" fontId="6" fillId="7" borderId="44" xfId="3" applyFont="1" applyFill="1" applyBorder="1" applyAlignment="1" applyProtection="1">
      <alignment horizontal="center" vertical="center"/>
    </xf>
    <xf numFmtId="38" fontId="1" fillId="2" borderId="14" xfId="3" applyFont="1" applyFill="1" applyBorder="1" applyAlignment="1" applyProtection="1">
      <alignment horizontal="center" vertical="center"/>
    </xf>
    <xf numFmtId="38" fontId="1" fillId="0" borderId="0" xfId="3" applyFont="1" applyFill="1" applyAlignment="1" applyProtection="1">
      <alignment horizontal="center" vertical="center"/>
    </xf>
    <xf numFmtId="0" fontId="0" fillId="7" borderId="36" xfId="0" applyFill="1" applyBorder="1" applyAlignment="1" applyProtection="1">
      <alignment horizontal="center" vertical="center"/>
    </xf>
    <xf numFmtId="0" fontId="0" fillId="7" borderId="17" xfId="0" applyFill="1" applyBorder="1" applyAlignment="1" applyProtection="1">
      <alignment horizontal="center" vertical="center"/>
    </xf>
    <xf numFmtId="0" fontId="30" fillId="2" borderId="0" xfId="0" applyFont="1" applyFill="1" applyBorder="1" applyAlignment="1" applyProtection="1">
      <alignment horizontal="center" vertical="center"/>
    </xf>
    <xf numFmtId="180" fontId="0" fillId="2" borderId="5" xfId="0" applyNumberFormat="1" applyFill="1" applyBorder="1" applyAlignment="1">
      <alignment horizontal="center" vertical="center"/>
    </xf>
    <xf numFmtId="0" fontId="20" fillId="8" borderId="45" xfId="0" applyFont="1" applyFill="1" applyBorder="1" applyAlignment="1" applyProtection="1">
      <alignment horizontal="left" vertical="top"/>
      <protection locked="0"/>
    </xf>
    <xf numFmtId="0" fontId="0" fillId="7" borderId="17" xfId="0" applyFill="1" applyBorder="1" applyAlignment="1" applyProtection="1">
      <alignment horizontal="center" vertical="center"/>
    </xf>
    <xf numFmtId="0" fontId="4" fillId="7" borderId="13" xfId="0" quotePrefix="1" applyFont="1" applyFill="1" applyBorder="1" applyAlignment="1" applyProtection="1">
      <alignment horizontal="center" vertical="center"/>
    </xf>
    <xf numFmtId="0" fontId="0" fillId="8" borderId="46" xfId="0" applyFill="1" applyBorder="1" applyAlignment="1" applyProtection="1">
      <alignment horizontal="center" vertical="center"/>
    </xf>
    <xf numFmtId="0" fontId="20" fillId="8" borderId="47" xfId="0" applyFont="1" applyFill="1" applyBorder="1" applyAlignment="1" applyProtection="1">
      <alignment horizontal="right" vertical="center"/>
      <protection locked="0"/>
    </xf>
    <xf numFmtId="0" fontId="21" fillId="7" borderId="0" xfId="0" applyFont="1" applyFill="1" applyBorder="1" applyAlignment="1" applyProtection="1">
      <alignment horizontal="left" vertical="center"/>
    </xf>
    <xf numFmtId="0" fontId="26" fillId="2" borderId="48" xfId="0" applyFont="1" applyFill="1" applyBorder="1" applyAlignment="1" applyProtection="1">
      <alignment horizontal="right" vertical="center"/>
    </xf>
    <xf numFmtId="0" fontId="26" fillId="0" borderId="48" xfId="0" applyFont="1" applyFill="1" applyBorder="1" applyAlignment="1" applyProtection="1">
      <alignment horizontal="right" vertical="center"/>
    </xf>
    <xf numFmtId="0" fontId="0" fillId="7" borderId="19" xfId="0" applyFill="1" applyBorder="1" applyAlignment="1" applyProtection="1">
      <alignment horizontal="center" vertical="center"/>
    </xf>
    <xf numFmtId="0" fontId="0" fillId="9" borderId="0" xfId="0" applyFill="1" applyBorder="1" applyAlignment="1" applyProtection="1">
      <alignment horizontal="center" vertical="center"/>
    </xf>
    <xf numFmtId="0" fontId="37" fillId="7" borderId="37" xfId="0" applyFont="1" applyFill="1" applyBorder="1" applyAlignment="1" applyProtection="1">
      <alignment horizontal="left" vertical="center"/>
    </xf>
    <xf numFmtId="0" fontId="37" fillId="7" borderId="0" xfId="0" applyFont="1" applyFill="1" applyBorder="1" applyAlignment="1" applyProtection="1">
      <alignment horizontal="left" vertical="center"/>
    </xf>
    <xf numFmtId="0" fontId="37" fillId="7" borderId="18" xfId="0" applyFont="1" applyFill="1" applyBorder="1" applyAlignment="1" applyProtection="1">
      <alignment horizontal="center" vertical="center"/>
    </xf>
    <xf numFmtId="0" fontId="37" fillId="7" borderId="49" xfId="0" applyFont="1" applyFill="1" applyBorder="1" applyAlignment="1" applyProtection="1">
      <alignment horizontal="left" vertical="center"/>
    </xf>
    <xf numFmtId="0" fontId="37" fillId="7" borderId="14" xfId="0" applyFont="1" applyFill="1" applyBorder="1" applyAlignment="1" applyProtection="1">
      <alignment horizontal="left" vertical="center"/>
    </xf>
    <xf numFmtId="0" fontId="37" fillId="7" borderId="19" xfId="0" applyFont="1" applyFill="1" applyBorder="1" applyAlignment="1" applyProtection="1">
      <alignment horizontal="center" vertical="center"/>
    </xf>
    <xf numFmtId="0" fontId="20" fillId="8" borderId="46" xfId="0" applyFont="1" applyFill="1" applyBorder="1" applyAlignment="1" applyProtection="1">
      <alignment horizontal="center" vertical="center"/>
      <protection locked="0"/>
    </xf>
    <xf numFmtId="0" fontId="32" fillId="2" borderId="14" xfId="0" applyFont="1" applyFill="1" applyBorder="1" applyAlignment="1" applyProtection="1">
      <alignment horizontal="center" vertical="center"/>
    </xf>
    <xf numFmtId="0" fontId="20" fillId="8" borderId="0" xfId="0" applyFont="1" applyFill="1" applyBorder="1" applyAlignment="1" applyProtection="1">
      <alignment horizontal="left" vertical="top"/>
      <protection locked="0"/>
    </xf>
    <xf numFmtId="0" fontId="20" fillId="8" borderId="14" xfId="0" applyFont="1" applyFill="1" applyBorder="1" applyAlignment="1" applyProtection="1">
      <alignment horizontal="left" vertical="top"/>
      <protection locked="0"/>
    </xf>
    <xf numFmtId="180" fontId="46" fillId="8" borderId="34" xfId="3" applyNumberFormat="1" applyFont="1" applyFill="1" applyBorder="1" applyAlignment="1" applyProtection="1">
      <alignment horizontal="center" vertical="center" wrapText="1"/>
      <protection locked="0"/>
    </xf>
    <xf numFmtId="0" fontId="6" fillId="7" borderId="50" xfId="0" applyFont="1" applyFill="1" applyBorder="1" applyAlignment="1" applyProtection="1">
      <alignment horizontal="center" vertical="center" wrapText="1"/>
    </xf>
    <xf numFmtId="0" fontId="6" fillId="7" borderId="51" xfId="0" applyFont="1" applyFill="1" applyBorder="1" applyAlignment="1" applyProtection="1">
      <alignment horizontal="center" vertical="center" wrapText="1"/>
    </xf>
    <xf numFmtId="0" fontId="6" fillId="7" borderId="52" xfId="0" applyFont="1" applyFill="1" applyBorder="1" applyAlignment="1" applyProtection="1">
      <alignment horizontal="center" vertical="center" wrapText="1"/>
    </xf>
    <xf numFmtId="0" fontId="20" fillId="7" borderId="51" xfId="0" applyFont="1" applyFill="1" applyBorder="1" applyAlignment="1" applyProtection="1">
      <alignment horizontal="center" vertical="center" wrapText="1"/>
    </xf>
    <xf numFmtId="0" fontId="20" fillId="7" borderId="53" xfId="0" applyFont="1" applyFill="1" applyBorder="1" applyAlignment="1" applyProtection="1">
      <alignment horizontal="center" vertical="center" wrapText="1"/>
    </xf>
    <xf numFmtId="0" fontId="6" fillId="7" borderId="51" xfId="0" applyFont="1" applyFill="1" applyBorder="1" applyAlignment="1" applyProtection="1">
      <alignment horizontal="center" vertical="center"/>
    </xf>
    <xf numFmtId="0" fontId="20" fillId="7" borderId="54" xfId="0" applyFont="1" applyFill="1" applyBorder="1" applyAlignment="1" applyProtection="1">
      <alignment horizontal="center" vertical="center" wrapText="1"/>
    </xf>
    <xf numFmtId="0" fontId="6" fillId="7" borderId="55" xfId="0" applyFont="1" applyFill="1" applyBorder="1" applyAlignment="1" applyProtection="1">
      <alignment horizontal="center" vertical="center" wrapText="1"/>
    </xf>
    <xf numFmtId="0" fontId="6" fillId="7" borderId="56" xfId="0" applyFont="1" applyFill="1" applyBorder="1" applyAlignment="1" applyProtection="1">
      <alignment horizontal="center" vertical="center" wrapText="1"/>
    </xf>
    <xf numFmtId="0" fontId="6" fillId="7" borderId="53" xfId="0" applyFont="1" applyFill="1" applyBorder="1" applyAlignment="1" applyProtection="1">
      <alignment horizontal="center" vertical="center" wrapText="1"/>
    </xf>
    <xf numFmtId="0" fontId="46" fillId="7" borderId="57" xfId="0" applyFont="1" applyFill="1" applyBorder="1" applyAlignment="1" applyProtection="1">
      <alignment horizontal="center" vertical="center"/>
    </xf>
    <xf numFmtId="0" fontId="46" fillId="7" borderId="58" xfId="0" applyFont="1" applyFill="1" applyBorder="1" applyAlignment="1" applyProtection="1">
      <alignment horizontal="center" vertical="center"/>
    </xf>
    <xf numFmtId="0" fontId="46" fillId="7" borderId="59" xfId="0" applyFont="1" applyFill="1" applyBorder="1" applyAlignment="1" applyProtection="1">
      <alignment horizontal="center" vertical="center"/>
    </xf>
    <xf numFmtId="0" fontId="51" fillId="7" borderId="57" xfId="0" applyFont="1" applyFill="1" applyBorder="1" applyAlignment="1" applyProtection="1">
      <alignment horizontal="center" vertical="center"/>
    </xf>
    <xf numFmtId="0" fontId="51" fillId="7" borderId="58" xfId="0" applyFont="1" applyFill="1" applyBorder="1" applyAlignment="1" applyProtection="1">
      <alignment horizontal="center" vertical="center"/>
    </xf>
    <xf numFmtId="0" fontId="51" fillId="7" borderId="59" xfId="0" applyFont="1" applyFill="1" applyBorder="1" applyAlignment="1" applyProtection="1">
      <alignment horizontal="center" vertical="center"/>
    </xf>
    <xf numFmtId="0" fontId="51" fillId="7" borderId="27" xfId="0" applyFont="1" applyFill="1" applyBorder="1" applyAlignment="1" applyProtection="1">
      <alignment horizontal="center" vertical="center"/>
    </xf>
    <xf numFmtId="0" fontId="51" fillId="7" borderId="60" xfId="0" applyFont="1" applyFill="1" applyBorder="1" applyAlignment="1" applyProtection="1">
      <alignment horizontal="center" vertical="center"/>
    </xf>
    <xf numFmtId="0" fontId="51" fillId="7" borderId="19" xfId="0" applyFont="1" applyFill="1" applyBorder="1" applyAlignment="1" applyProtection="1">
      <alignment horizontal="center" vertical="center"/>
    </xf>
    <xf numFmtId="183" fontId="51" fillId="7" borderId="1" xfId="0" applyNumberFormat="1" applyFont="1" applyFill="1" applyBorder="1" applyAlignment="1" applyProtection="1">
      <alignment horizontal="center" vertical="center"/>
    </xf>
    <xf numFmtId="183" fontId="51" fillId="7" borderId="5" xfId="0" applyNumberFormat="1" applyFont="1" applyFill="1" applyBorder="1" applyAlignment="1" applyProtection="1">
      <alignment horizontal="center" vertical="center"/>
    </xf>
    <xf numFmtId="183" fontId="46" fillId="7" borderId="26" xfId="0" applyNumberFormat="1" applyFont="1" applyFill="1" applyBorder="1" applyAlignment="1" applyProtection="1">
      <alignment horizontal="center" vertical="center"/>
    </xf>
    <xf numFmtId="183" fontId="51" fillId="7" borderId="35" xfId="0" applyNumberFormat="1" applyFont="1" applyFill="1" applyBorder="1" applyAlignment="1" applyProtection="1">
      <alignment horizontal="center" vertical="center"/>
    </xf>
    <xf numFmtId="183" fontId="51" fillId="8" borderId="5" xfId="0" applyNumberFormat="1" applyFont="1" applyFill="1" applyBorder="1" applyAlignment="1" applyProtection="1">
      <alignment horizontal="center" vertical="center"/>
      <protection locked="0"/>
    </xf>
    <xf numFmtId="183" fontId="51" fillId="8" borderId="2" xfId="0" applyNumberFormat="1" applyFont="1" applyFill="1" applyBorder="1" applyAlignment="1" applyProtection="1">
      <alignment horizontal="center" vertical="center"/>
      <protection locked="0"/>
    </xf>
    <xf numFmtId="183" fontId="51" fillId="7" borderId="4" xfId="0" applyNumberFormat="1" applyFont="1" applyFill="1" applyBorder="1" applyAlignment="1" applyProtection="1">
      <alignment horizontal="center" vertical="center"/>
    </xf>
    <xf numFmtId="183" fontId="46" fillId="8" borderId="2" xfId="0" applyNumberFormat="1" applyFont="1" applyFill="1" applyBorder="1" applyAlignment="1" applyProtection="1">
      <alignment horizontal="center" vertical="center"/>
      <protection locked="0"/>
    </xf>
    <xf numFmtId="183" fontId="51" fillId="8" borderId="61" xfId="0" applyNumberFormat="1" applyFont="1" applyFill="1" applyBorder="1" applyAlignment="1" applyProtection="1">
      <alignment horizontal="center" vertical="center"/>
      <protection locked="0"/>
    </xf>
    <xf numFmtId="183" fontId="51" fillId="8" borderId="46" xfId="0" applyNumberFormat="1" applyFont="1" applyFill="1" applyBorder="1" applyAlignment="1" applyProtection="1">
      <alignment horizontal="center" vertical="center"/>
      <protection locked="0"/>
    </xf>
    <xf numFmtId="183" fontId="51" fillId="7" borderId="49" xfId="0" applyNumberFormat="1" applyFont="1" applyFill="1" applyBorder="1" applyAlignment="1" applyProtection="1">
      <alignment horizontal="center" vertical="center"/>
    </xf>
    <xf numFmtId="183" fontId="46" fillId="7" borderId="57" xfId="0" applyNumberFormat="1" applyFont="1" applyFill="1" applyBorder="1" applyAlignment="1" applyProtection="1">
      <alignment horizontal="center" vertical="center"/>
    </xf>
    <xf numFmtId="183" fontId="46" fillId="7" borderId="62" xfId="0" applyNumberFormat="1" applyFont="1" applyFill="1" applyBorder="1" applyAlignment="1" applyProtection="1">
      <alignment horizontal="center" vertical="center"/>
    </xf>
    <xf numFmtId="183" fontId="46" fillId="7" borderId="1" xfId="0" applyNumberFormat="1" applyFont="1" applyFill="1" applyBorder="1" applyAlignment="1" applyProtection="1">
      <alignment horizontal="center" vertical="center"/>
    </xf>
    <xf numFmtId="183" fontId="45" fillId="7" borderId="58" xfId="3" applyNumberFormat="1" applyFont="1" applyFill="1" applyBorder="1" applyAlignment="1" applyProtection="1">
      <alignment horizontal="center" vertical="center"/>
    </xf>
    <xf numFmtId="183" fontId="46" fillId="7" borderId="35" xfId="0" applyNumberFormat="1" applyFont="1" applyFill="1" applyBorder="1" applyAlignment="1" applyProtection="1">
      <alignment horizontal="center" vertical="center"/>
    </xf>
    <xf numFmtId="183" fontId="51" fillId="7" borderId="63" xfId="0" applyNumberFormat="1" applyFont="1" applyFill="1" applyBorder="1" applyAlignment="1" applyProtection="1">
      <alignment horizontal="center" vertical="center"/>
    </xf>
    <xf numFmtId="183" fontId="51" fillId="8" borderId="7" xfId="0" applyNumberFormat="1" applyFont="1" applyFill="1" applyBorder="1" applyAlignment="1" applyProtection="1">
      <alignment horizontal="center" vertical="center"/>
      <protection locked="0"/>
    </xf>
    <xf numFmtId="183" fontId="46" fillId="8" borderId="26" xfId="0" applyNumberFormat="1" applyFont="1" applyFill="1" applyBorder="1" applyAlignment="1" applyProtection="1">
      <alignment horizontal="center" vertical="center"/>
      <protection locked="0"/>
    </xf>
    <xf numFmtId="183" fontId="46" fillId="7" borderId="64" xfId="0" applyNumberFormat="1" applyFont="1" applyFill="1" applyBorder="1" applyAlignment="1" applyProtection="1">
      <alignment horizontal="center" vertical="center"/>
    </xf>
    <xf numFmtId="183" fontId="51" fillId="8" borderId="65" xfId="0" applyNumberFormat="1" applyFont="1" applyFill="1" applyBorder="1" applyAlignment="1" applyProtection="1">
      <alignment horizontal="center" vertical="center"/>
      <protection locked="0"/>
    </xf>
    <xf numFmtId="183" fontId="46" fillId="8" borderId="66" xfId="0" applyNumberFormat="1" applyFont="1" applyFill="1" applyBorder="1" applyAlignment="1" applyProtection="1">
      <alignment horizontal="center" vertical="center"/>
      <protection locked="0"/>
    </xf>
    <xf numFmtId="183" fontId="46" fillId="7" borderId="67" xfId="0" applyNumberFormat="1" applyFont="1" applyFill="1" applyBorder="1" applyAlignment="1" applyProtection="1">
      <alignment horizontal="center" vertical="center"/>
    </xf>
    <xf numFmtId="183" fontId="45" fillId="7" borderId="61" xfId="3" applyNumberFormat="1" applyFont="1" applyFill="1" applyBorder="1" applyAlignment="1" applyProtection="1">
      <alignment horizontal="center" vertical="center"/>
    </xf>
    <xf numFmtId="183" fontId="46" fillId="7" borderId="47" xfId="0" applyNumberFormat="1" applyFont="1" applyFill="1" applyBorder="1" applyAlignment="1" applyProtection="1">
      <alignment horizontal="center" vertical="center"/>
    </xf>
    <xf numFmtId="183" fontId="51" fillId="7" borderId="12" xfId="0" applyNumberFormat="1" applyFont="1" applyFill="1" applyBorder="1" applyAlignment="1" applyProtection="1">
      <alignment horizontal="center" vertical="center"/>
    </xf>
    <xf numFmtId="183" fontId="45" fillId="7" borderId="57" xfId="3" applyNumberFormat="1" applyFont="1" applyFill="1" applyBorder="1" applyAlignment="1" applyProtection="1">
      <alignment horizontal="center" vertical="center"/>
    </xf>
    <xf numFmtId="183" fontId="45" fillId="7" borderId="59" xfId="3" applyNumberFormat="1" applyFont="1" applyFill="1" applyBorder="1" applyAlignment="1" applyProtection="1">
      <alignment horizontal="center" vertical="center"/>
    </xf>
    <xf numFmtId="183" fontId="45" fillId="7" borderId="27" xfId="3" applyNumberFormat="1" applyFont="1" applyFill="1" applyBorder="1" applyAlignment="1" applyProtection="1">
      <alignment horizontal="center" vertical="center"/>
    </xf>
    <xf numFmtId="183" fontId="45" fillId="7" borderId="60" xfId="3" applyNumberFormat="1" applyFont="1" applyFill="1" applyBorder="1" applyAlignment="1" applyProtection="1">
      <alignment horizontal="center" vertical="center"/>
    </xf>
    <xf numFmtId="183" fontId="45" fillId="7" borderId="19" xfId="3" applyNumberFormat="1" applyFont="1" applyFill="1" applyBorder="1" applyAlignment="1" applyProtection="1">
      <alignment horizontal="center" vertical="center"/>
    </xf>
    <xf numFmtId="38" fontId="46" fillId="8" borderId="68" xfId="3" applyFont="1" applyFill="1" applyBorder="1" applyAlignment="1" applyProtection="1">
      <alignment horizontal="center" vertical="center" wrapText="1"/>
      <protection locked="0"/>
    </xf>
    <xf numFmtId="38" fontId="46" fillId="8" borderId="69" xfId="3" applyFont="1" applyFill="1" applyBorder="1" applyAlignment="1" applyProtection="1">
      <alignment horizontal="center" vertical="center" wrapText="1"/>
      <protection locked="0"/>
    </xf>
    <xf numFmtId="10" fontId="46" fillId="8" borderId="2" xfId="2" applyNumberFormat="1" applyFont="1" applyFill="1" applyBorder="1" applyAlignment="1" applyProtection="1">
      <alignment horizontal="center" vertical="center"/>
      <protection locked="0"/>
    </xf>
    <xf numFmtId="10" fontId="46" fillId="8" borderId="20" xfId="2" applyNumberFormat="1" applyFont="1" applyFill="1" applyBorder="1" applyAlignment="1" applyProtection="1">
      <alignment horizontal="center" vertical="center"/>
      <protection locked="0"/>
    </xf>
    <xf numFmtId="177" fontId="46" fillId="8" borderId="2" xfId="3" applyNumberFormat="1" applyFont="1" applyFill="1" applyBorder="1" applyAlignment="1" applyProtection="1">
      <alignment horizontal="center" vertical="center"/>
      <protection locked="0"/>
    </xf>
    <xf numFmtId="177" fontId="46" fillId="8" borderId="20" xfId="3" applyNumberFormat="1" applyFont="1" applyFill="1" applyBorder="1" applyAlignment="1" applyProtection="1">
      <alignment horizontal="center" vertical="center"/>
      <protection locked="0"/>
    </xf>
    <xf numFmtId="0" fontId="6" fillId="7" borderId="50" xfId="0" applyFont="1" applyFill="1" applyBorder="1" applyAlignment="1" applyProtection="1">
      <alignment horizontal="center" vertical="center"/>
    </xf>
    <xf numFmtId="0" fontId="6" fillId="7" borderId="53" xfId="0" applyFont="1" applyFill="1" applyBorder="1" applyAlignment="1" applyProtection="1">
      <alignment horizontal="center" vertical="center"/>
    </xf>
    <xf numFmtId="183" fontId="51" fillId="7" borderId="57" xfId="0" applyNumberFormat="1" applyFont="1" applyFill="1" applyBorder="1" applyAlignment="1" applyProtection="1">
      <alignment horizontal="center" vertical="center"/>
    </xf>
    <xf numFmtId="183" fontId="46" fillId="8" borderId="7" xfId="0" applyNumberFormat="1" applyFont="1" applyFill="1" applyBorder="1" applyAlignment="1" applyProtection="1">
      <alignment horizontal="center" vertical="center"/>
      <protection locked="0"/>
    </xf>
    <xf numFmtId="183" fontId="51" fillId="7" borderId="61" xfId="0" applyNumberFormat="1" applyFont="1" applyFill="1" applyBorder="1" applyAlignment="1" applyProtection="1">
      <alignment horizontal="center" vertical="center"/>
    </xf>
    <xf numFmtId="183" fontId="51" fillId="7" borderId="28" xfId="0" applyNumberFormat="1" applyFont="1" applyFill="1" applyBorder="1" applyAlignment="1" applyProtection="1">
      <alignment horizontal="center" vertical="center"/>
    </xf>
    <xf numFmtId="38" fontId="46" fillId="8" borderId="70" xfId="0" applyNumberFormat="1" applyFont="1" applyFill="1" applyBorder="1" applyAlignment="1" applyProtection="1">
      <alignment horizontal="center" vertical="center" wrapText="1"/>
      <protection locked="0"/>
    </xf>
    <xf numFmtId="0" fontId="52" fillId="2" borderId="0" xfId="0" applyFont="1" applyFill="1">
      <alignment vertical="center"/>
    </xf>
    <xf numFmtId="0" fontId="0" fillId="2" borderId="0" xfId="0" applyFont="1" applyFill="1">
      <alignment vertical="center"/>
    </xf>
    <xf numFmtId="0" fontId="0" fillId="2" borderId="0" xfId="0" applyFont="1" applyFill="1" applyAlignment="1">
      <alignment horizontal="right" vertical="center"/>
    </xf>
    <xf numFmtId="0" fontId="53" fillId="2" borderId="0" xfId="0" applyNumberFormat="1" applyFont="1" applyFill="1" applyBorder="1" applyAlignment="1">
      <alignment horizontal="right" vertical="center"/>
    </xf>
    <xf numFmtId="0" fontId="0" fillId="0" borderId="0" xfId="0" applyFont="1">
      <alignment vertical="center"/>
    </xf>
    <xf numFmtId="0" fontId="0" fillId="2" borderId="71" xfId="0" applyFont="1" applyFill="1" applyBorder="1" applyAlignment="1">
      <alignment horizontal="center" vertical="center"/>
    </xf>
    <xf numFmtId="0" fontId="53" fillId="2" borderId="0" xfId="0" applyFont="1" applyFill="1" applyBorder="1" applyAlignment="1">
      <alignment horizontal="right" vertical="center"/>
    </xf>
    <xf numFmtId="0" fontId="0" fillId="2" borderId="71" xfId="0" applyFont="1" applyFill="1" applyBorder="1" applyAlignment="1">
      <alignment horizontal="right" vertical="center"/>
    </xf>
    <xf numFmtId="0" fontId="0" fillId="2" borderId="72" xfId="0" applyFont="1" applyFill="1" applyBorder="1">
      <alignment vertical="center"/>
    </xf>
    <xf numFmtId="0" fontId="0" fillId="4" borderId="73" xfId="0" applyNumberFormat="1" applyFont="1" applyFill="1" applyBorder="1" applyAlignment="1">
      <alignment horizontal="right" vertical="center"/>
    </xf>
    <xf numFmtId="0" fontId="0" fillId="2" borderId="74" xfId="0" applyFont="1" applyFill="1" applyBorder="1">
      <alignment vertical="center"/>
    </xf>
    <xf numFmtId="0" fontId="53" fillId="3" borderId="71" xfId="0" applyFont="1" applyFill="1" applyBorder="1">
      <alignment vertical="center"/>
    </xf>
    <xf numFmtId="0" fontId="53" fillId="2" borderId="71" xfId="0" applyFont="1" applyFill="1" applyBorder="1">
      <alignment vertical="center"/>
    </xf>
    <xf numFmtId="0" fontId="53" fillId="2" borderId="0" xfId="0" applyFont="1" applyFill="1" applyBorder="1">
      <alignment vertical="center"/>
    </xf>
    <xf numFmtId="0" fontId="53" fillId="2" borderId="71" xfId="0" applyFont="1" applyFill="1" applyBorder="1" applyAlignment="1">
      <alignment horizontal="right" vertical="center"/>
    </xf>
    <xf numFmtId="0" fontId="0" fillId="0" borderId="0" xfId="0" applyFont="1" applyFill="1" applyAlignment="1">
      <alignment horizontal="right" vertical="center"/>
    </xf>
    <xf numFmtId="0" fontId="0" fillId="2" borderId="0" xfId="0" applyFont="1" applyFill="1" applyAlignment="1">
      <alignment horizontal="left" vertical="center"/>
    </xf>
    <xf numFmtId="0" fontId="0" fillId="2" borderId="0" xfId="0" applyFont="1" applyFill="1" applyAlignment="1">
      <alignment horizontal="center" vertical="center"/>
    </xf>
    <xf numFmtId="0" fontId="0" fillId="0" borderId="71" xfId="0" applyFont="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2" xfId="0"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71" xfId="0" applyFont="1" applyFill="1" applyBorder="1" applyAlignment="1">
      <alignment horizontal="right" vertical="center"/>
    </xf>
    <xf numFmtId="0" fontId="0" fillId="2" borderId="2" xfId="0" applyFont="1" applyFill="1" applyBorder="1">
      <alignment vertical="center"/>
    </xf>
    <xf numFmtId="0" fontId="0" fillId="2" borderId="2" xfId="0" applyFont="1" applyFill="1" applyBorder="1" applyAlignment="1">
      <alignment vertical="center"/>
    </xf>
    <xf numFmtId="0" fontId="53" fillId="0" borderId="71" xfId="0" applyFont="1" applyFill="1" applyBorder="1">
      <alignment vertical="center"/>
    </xf>
    <xf numFmtId="0" fontId="0" fillId="2" borderId="0" xfId="0" applyFont="1" applyFill="1" applyBorder="1">
      <alignment vertical="center"/>
    </xf>
    <xf numFmtId="0" fontId="53" fillId="3" borderId="71" xfId="0" applyFont="1" applyFill="1" applyBorder="1" applyAlignment="1">
      <alignment horizontal="right" vertical="center"/>
    </xf>
    <xf numFmtId="0" fontId="0" fillId="2" borderId="8" xfId="0" applyFont="1" applyFill="1" applyBorder="1">
      <alignment vertical="center"/>
    </xf>
    <xf numFmtId="0" fontId="0" fillId="2" borderId="8" xfId="0" applyFont="1" applyFill="1" applyBorder="1" applyAlignment="1">
      <alignment horizontal="center" vertical="center"/>
    </xf>
    <xf numFmtId="0" fontId="54" fillId="2" borderId="0" xfId="0" applyFont="1" applyFill="1">
      <alignment vertical="center"/>
    </xf>
    <xf numFmtId="0" fontId="0" fillId="2" borderId="6" xfId="0" applyFont="1" applyFill="1" applyBorder="1">
      <alignment vertical="center"/>
    </xf>
    <xf numFmtId="0" fontId="0" fillId="2" borderId="75" xfId="0" applyFont="1" applyFill="1" applyBorder="1">
      <alignment vertical="center"/>
    </xf>
    <xf numFmtId="0" fontId="0" fillId="0" borderId="1" xfId="0" applyFont="1" applyBorder="1">
      <alignment vertical="center"/>
    </xf>
    <xf numFmtId="0" fontId="0" fillId="2" borderId="1" xfId="0" applyFont="1" applyFill="1" applyBorder="1" applyAlignment="1">
      <alignment horizontal="center" vertical="center"/>
    </xf>
    <xf numFmtId="0" fontId="0" fillId="0" borderId="3" xfId="0" applyFont="1" applyBorder="1">
      <alignment vertical="center"/>
    </xf>
    <xf numFmtId="0" fontId="0" fillId="2" borderId="1" xfId="0" applyFont="1" applyFill="1" applyBorder="1" applyAlignment="1">
      <alignment horizontal="left" vertical="center"/>
    </xf>
    <xf numFmtId="0" fontId="0" fillId="0" borderId="2" xfId="0" applyFont="1" applyBorder="1">
      <alignment vertical="center"/>
    </xf>
    <xf numFmtId="0" fontId="0" fillId="2" borderId="58" xfId="0" applyFont="1" applyFill="1" applyBorder="1" applyAlignment="1">
      <alignment horizontal="left" vertical="center"/>
    </xf>
    <xf numFmtId="0" fontId="0" fillId="2" borderId="76"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1" xfId="0" applyFont="1" applyFill="1" applyBorder="1">
      <alignment vertical="center"/>
    </xf>
    <xf numFmtId="0" fontId="0" fillId="0" borderId="58" xfId="0" applyFont="1" applyBorder="1">
      <alignment vertical="center"/>
    </xf>
    <xf numFmtId="0" fontId="0" fillId="2" borderId="78"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0" xfId="0" applyFont="1" applyAlignment="1">
      <alignment horizontal="right" vertical="center"/>
    </xf>
    <xf numFmtId="0" fontId="49" fillId="2" borderId="2" xfId="0" applyFont="1" applyFill="1" applyBorder="1">
      <alignment vertical="center"/>
    </xf>
    <xf numFmtId="0" fontId="55" fillId="2" borderId="2" xfId="0" applyFont="1" applyFill="1" applyBorder="1">
      <alignment vertical="center"/>
    </xf>
    <xf numFmtId="0" fontId="56" fillId="2" borderId="0" xfId="0" applyFont="1" applyFill="1">
      <alignment vertical="center"/>
    </xf>
    <xf numFmtId="176" fontId="0" fillId="0" borderId="0" xfId="0" applyNumberFormat="1" applyFont="1" applyBorder="1" applyAlignment="1">
      <alignment horizontal="center" vertical="center" wrapText="1"/>
    </xf>
    <xf numFmtId="176" fontId="0" fillId="0" borderId="0" xfId="0" applyNumberFormat="1" applyFont="1" applyBorder="1" applyAlignment="1">
      <alignment horizontal="center" vertical="center"/>
    </xf>
    <xf numFmtId="176" fontId="53" fillId="0" borderId="0" xfId="0" applyNumberFormat="1" applyFont="1" applyFill="1" applyBorder="1" applyAlignment="1">
      <alignment horizontal="center" vertical="center"/>
    </xf>
    <xf numFmtId="0" fontId="49" fillId="0" borderId="0" xfId="0" applyFont="1">
      <alignment vertical="center"/>
    </xf>
    <xf numFmtId="0" fontId="49" fillId="2" borderId="2" xfId="0" applyFont="1" applyFill="1" applyBorder="1" applyAlignment="1">
      <alignment horizontal="center" vertical="center"/>
    </xf>
    <xf numFmtId="0" fontId="49" fillId="2" borderId="2" xfId="0" applyFont="1" applyFill="1" applyBorder="1" applyAlignment="1">
      <alignment horizontal="center" vertical="center" wrapText="1"/>
    </xf>
    <xf numFmtId="0" fontId="0" fillId="10" borderId="0" xfId="0" applyFill="1" applyAlignment="1" applyProtection="1">
      <alignment horizontal="center" vertical="center"/>
    </xf>
    <xf numFmtId="176" fontId="0" fillId="10" borderId="4" xfId="0" applyNumberFormat="1" applyFill="1" applyBorder="1" applyAlignment="1" applyProtection="1">
      <alignment horizontal="right" vertical="center"/>
    </xf>
    <xf numFmtId="176" fontId="0" fillId="10" borderId="49" xfId="0" applyNumberFormat="1" applyFill="1" applyBorder="1" applyAlignment="1" applyProtection="1">
      <alignment horizontal="right" vertical="center"/>
    </xf>
    <xf numFmtId="0" fontId="49" fillId="2" borderId="8" xfId="0" applyFont="1" applyFill="1" applyBorder="1">
      <alignment vertical="center"/>
    </xf>
    <xf numFmtId="0" fontId="0" fillId="7" borderId="86" xfId="0" applyFill="1" applyBorder="1" applyAlignment="1" applyProtection="1">
      <alignment horizontal="center" vertical="center"/>
    </xf>
    <xf numFmtId="0" fontId="0" fillId="7" borderId="87" xfId="0" applyFill="1" applyBorder="1" applyAlignment="1" applyProtection="1">
      <alignment horizontal="center" vertical="center"/>
    </xf>
    <xf numFmtId="0" fontId="0" fillId="7" borderId="88" xfId="0" applyFill="1" applyBorder="1" applyAlignment="1" applyProtection="1">
      <alignment horizontal="center" vertical="center"/>
    </xf>
    <xf numFmtId="0" fontId="0" fillId="8" borderId="36" xfId="0" applyFill="1" applyBorder="1" applyAlignment="1" applyProtection="1">
      <alignment horizontal="left" vertical="top"/>
      <protection locked="0"/>
    </xf>
    <xf numFmtId="0" fontId="0" fillId="8" borderId="15" xfId="0" applyFill="1" applyBorder="1" applyAlignment="1" applyProtection="1">
      <alignment horizontal="left" vertical="top"/>
      <protection locked="0"/>
    </xf>
    <xf numFmtId="0" fontId="0" fillId="8" borderId="16" xfId="0" applyFill="1" applyBorder="1" applyAlignment="1" applyProtection="1">
      <alignment horizontal="left" vertical="top"/>
      <protection locked="0"/>
    </xf>
    <xf numFmtId="0" fontId="0" fillId="8" borderId="13" xfId="0" applyFill="1" applyBorder="1" applyAlignment="1" applyProtection="1">
      <alignment horizontal="left" vertical="top"/>
      <protection locked="0"/>
    </xf>
    <xf numFmtId="0" fontId="0" fillId="8" borderId="0" xfId="0" applyFill="1" applyBorder="1" applyAlignment="1" applyProtection="1">
      <alignment horizontal="left" vertical="top"/>
      <protection locked="0"/>
    </xf>
    <xf numFmtId="0" fontId="0" fillId="8" borderId="18" xfId="0" applyFill="1" applyBorder="1" applyAlignment="1" applyProtection="1">
      <alignment horizontal="left" vertical="top"/>
      <protection locked="0"/>
    </xf>
    <xf numFmtId="0" fontId="33" fillId="8" borderId="89" xfId="0" applyFont="1" applyFill="1" applyBorder="1" applyAlignment="1" applyProtection="1">
      <alignment horizontal="center" vertical="center"/>
    </xf>
    <xf numFmtId="0" fontId="33" fillId="8" borderId="90" xfId="0" applyFont="1" applyFill="1" applyBorder="1" applyAlignment="1" applyProtection="1">
      <alignment horizontal="center" vertical="center"/>
    </xf>
    <xf numFmtId="0" fontId="0" fillId="2" borderId="87" xfId="0" applyFill="1" applyBorder="1" applyAlignment="1" applyProtection="1">
      <alignment horizontal="left"/>
    </xf>
    <xf numFmtId="0" fontId="0" fillId="8" borderId="17" xfId="0" applyFill="1" applyBorder="1" applyAlignment="1" applyProtection="1">
      <alignment horizontal="left" vertical="top"/>
      <protection locked="0"/>
    </xf>
    <xf numFmtId="0" fontId="0" fillId="8" borderId="14" xfId="0" applyFill="1" applyBorder="1" applyAlignment="1" applyProtection="1">
      <alignment horizontal="left" vertical="top"/>
      <protection locked="0"/>
    </xf>
    <xf numFmtId="0" fontId="0" fillId="8" borderId="19" xfId="0" applyFill="1" applyBorder="1" applyAlignment="1" applyProtection="1">
      <alignment horizontal="left" vertical="top"/>
      <protection locked="0"/>
    </xf>
    <xf numFmtId="0" fontId="21" fillId="7" borderId="15" xfId="0" applyFont="1" applyFill="1" applyBorder="1" applyAlignment="1" applyProtection="1">
      <alignment horizontal="left" vertical="center"/>
    </xf>
    <xf numFmtId="0" fontId="21" fillId="7" borderId="0" xfId="0" applyFont="1" applyFill="1" applyBorder="1" applyAlignment="1" applyProtection="1">
      <alignment horizontal="left" vertical="center"/>
    </xf>
    <xf numFmtId="0" fontId="20" fillId="8" borderId="36" xfId="0" applyFont="1" applyFill="1" applyBorder="1" applyAlignment="1" applyProtection="1">
      <alignment horizontal="left" vertical="center"/>
      <protection locked="0"/>
    </xf>
    <xf numFmtId="0" fontId="20" fillId="8" borderId="15" xfId="0" applyFont="1" applyFill="1" applyBorder="1" applyAlignment="1" applyProtection="1">
      <alignment horizontal="left" vertical="center"/>
      <protection locked="0"/>
    </xf>
    <xf numFmtId="0" fontId="20" fillId="8" borderId="13" xfId="0" applyFont="1" applyFill="1" applyBorder="1" applyAlignment="1" applyProtection="1">
      <alignment horizontal="left" vertical="center"/>
      <protection locked="0"/>
    </xf>
    <xf numFmtId="0" fontId="20" fillId="8" borderId="0" xfId="0" applyFont="1" applyFill="1" applyBorder="1" applyAlignment="1" applyProtection="1">
      <alignment horizontal="left" vertical="center"/>
      <protection locked="0"/>
    </xf>
    <xf numFmtId="0" fontId="20" fillId="8" borderId="82" xfId="0" applyFont="1" applyFill="1" applyBorder="1" applyAlignment="1" applyProtection="1">
      <alignment horizontal="left" vertical="center"/>
      <protection locked="0"/>
    </xf>
    <xf numFmtId="0" fontId="20" fillId="8" borderId="26" xfId="0" applyFont="1" applyFill="1" applyBorder="1" applyAlignment="1" applyProtection="1">
      <alignment horizontal="left" vertical="center"/>
      <protection locked="0"/>
    </xf>
    <xf numFmtId="0" fontId="20" fillId="8" borderId="39" xfId="0" applyFont="1" applyFill="1" applyBorder="1" applyAlignment="1" applyProtection="1">
      <alignment horizontal="left" vertical="center"/>
      <protection locked="0"/>
    </xf>
    <xf numFmtId="0" fontId="20" fillId="8" borderId="16" xfId="0" applyFont="1" applyFill="1" applyBorder="1" applyAlignment="1" applyProtection="1">
      <alignment horizontal="left" vertical="center"/>
      <protection locked="0"/>
    </xf>
    <xf numFmtId="0" fontId="20" fillId="8" borderId="37" xfId="0" applyFont="1" applyFill="1" applyBorder="1" applyAlignment="1" applyProtection="1">
      <alignment horizontal="left" vertical="center"/>
      <protection locked="0"/>
    </xf>
    <xf numFmtId="0" fontId="20" fillId="8" borderId="18" xfId="0" applyFont="1" applyFill="1" applyBorder="1" applyAlignment="1" applyProtection="1">
      <alignment horizontal="left" vertical="center"/>
      <protection locked="0"/>
    </xf>
    <xf numFmtId="0" fontId="20" fillId="8" borderId="4" xfId="0" applyFont="1" applyFill="1" applyBorder="1" applyAlignment="1" applyProtection="1">
      <alignment horizontal="left" vertical="center"/>
      <protection locked="0"/>
    </xf>
    <xf numFmtId="0" fontId="20" fillId="8" borderId="59" xfId="0" applyFont="1" applyFill="1" applyBorder="1" applyAlignment="1" applyProtection="1">
      <alignment horizontal="left" vertical="center"/>
      <protection locked="0"/>
    </xf>
    <xf numFmtId="0" fontId="21" fillId="8" borderId="15" xfId="0" applyFont="1" applyFill="1" applyBorder="1" applyAlignment="1" applyProtection="1">
      <alignment horizontal="center" vertical="center"/>
      <protection locked="0"/>
    </xf>
    <xf numFmtId="0" fontId="21" fillId="8" borderId="0" xfId="0" applyFont="1" applyFill="1" applyBorder="1" applyAlignment="1" applyProtection="1">
      <alignment horizontal="center" vertical="center"/>
      <protection locked="0"/>
    </xf>
    <xf numFmtId="0" fontId="20" fillId="8" borderId="83" xfId="0" applyFont="1" applyFill="1" applyBorder="1" applyAlignment="1" applyProtection="1">
      <alignment horizontal="left" vertical="top"/>
      <protection locked="0"/>
    </xf>
    <xf numFmtId="0" fontId="20" fillId="8" borderId="45" xfId="0" applyFont="1" applyFill="1" applyBorder="1" applyAlignment="1" applyProtection="1">
      <alignment horizontal="left" vertical="top"/>
      <protection locked="0"/>
    </xf>
    <xf numFmtId="0" fontId="20" fillId="8" borderId="13" xfId="0" applyFont="1" applyFill="1" applyBorder="1" applyAlignment="1" applyProtection="1">
      <alignment horizontal="left" vertical="top"/>
      <protection locked="0"/>
    </xf>
    <xf numFmtId="0" fontId="20" fillId="8" borderId="0" xfId="0" applyFont="1" applyFill="1" applyBorder="1" applyAlignment="1" applyProtection="1">
      <alignment horizontal="left" vertical="top"/>
      <protection locked="0"/>
    </xf>
    <xf numFmtId="0" fontId="20" fillId="8" borderId="17" xfId="0" applyFont="1" applyFill="1" applyBorder="1" applyAlignment="1" applyProtection="1">
      <alignment horizontal="left" vertical="top"/>
      <protection locked="0"/>
    </xf>
    <xf numFmtId="0" fontId="20" fillId="8" borderId="14" xfId="0" applyFont="1" applyFill="1" applyBorder="1" applyAlignment="1" applyProtection="1">
      <alignment horizontal="left" vertical="top"/>
      <protection locked="0"/>
    </xf>
    <xf numFmtId="0" fontId="20" fillId="8" borderId="84" xfId="0" applyFont="1" applyFill="1" applyBorder="1" applyAlignment="1" applyProtection="1">
      <alignment horizontal="left" vertical="top"/>
      <protection locked="0"/>
    </xf>
    <xf numFmtId="0" fontId="20" fillId="8" borderId="85" xfId="0" applyFont="1" applyFill="1" applyBorder="1" applyAlignment="1" applyProtection="1">
      <alignment horizontal="left" vertical="top"/>
      <protection locked="0"/>
    </xf>
    <xf numFmtId="0" fontId="20" fillId="8" borderId="37" xfId="0" applyFont="1" applyFill="1" applyBorder="1" applyAlignment="1" applyProtection="1">
      <alignment horizontal="left" vertical="top"/>
      <protection locked="0"/>
    </xf>
    <xf numFmtId="0" fontId="20" fillId="8" borderId="18" xfId="0" applyFont="1" applyFill="1" applyBorder="1" applyAlignment="1" applyProtection="1">
      <alignment horizontal="left" vertical="top"/>
      <protection locked="0"/>
    </xf>
    <xf numFmtId="0" fontId="20" fillId="8" borderId="49" xfId="0" applyFont="1" applyFill="1" applyBorder="1" applyAlignment="1" applyProtection="1">
      <alignment horizontal="left" vertical="top"/>
      <protection locked="0"/>
    </xf>
    <xf numFmtId="0" fontId="20" fillId="8" borderId="19" xfId="0" applyFont="1" applyFill="1" applyBorder="1" applyAlignment="1" applyProtection="1">
      <alignment horizontal="left" vertical="top"/>
      <protection locked="0"/>
    </xf>
    <xf numFmtId="0" fontId="7" fillId="7" borderId="89" xfId="0" applyFont="1" applyFill="1" applyBorder="1" applyAlignment="1" applyProtection="1">
      <alignment horizontal="center" vertical="center" wrapText="1"/>
    </xf>
    <xf numFmtId="0" fontId="7" fillId="7" borderId="48" xfId="0" applyFont="1" applyFill="1" applyBorder="1" applyAlignment="1" applyProtection="1">
      <alignment horizontal="center" vertical="center" wrapText="1"/>
    </xf>
    <xf numFmtId="0" fontId="7" fillId="7" borderId="91" xfId="0" applyFont="1" applyFill="1" applyBorder="1" applyAlignment="1" applyProtection="1">
      <alignment horizontal="center" vertical="center" wrapText="1"/>
    </xf>
    <xf numFmtId="0" fontId="8" fillId="7" borderId="89" xfId="0" applyFont="1" applyFill="1" applyBorder="1" applyAlignment="1" applyProtection="1">
      <alignment horizontal="center" vertical="center" wrapText="1"/>
    </xf>
    <xf numFmtId="0" fontId="8" fillId="7" borderId="91" xfId="0" applyFont="1" applyFill="1" applyBorder="1" applyAlignment="1" applyProtection="1">
      <alignment horizontal="center" vertical="center" wrapText="1"/>
    </xf>
    <xf numFmtId="0" fontId="24" fillId="7" borderId="86" xfId="0" applyFont="1" applyFill="1" applyBorder="1" applyAlignment="1" applyProtection="1">
      <alignment horizontal="center" vertical="center" wrapText="1"/>
    </xf>
    <xf numFmtId="0" fontId="24" fillId="7" borderId="87" xfId="0" applyFont="1" applyFill="1" applyBorder="1" applyAlignment="1" applyProtection="1">
      <alignment horizontal="center" vertical="center" wrapText="1"/>
    </xf>
    <xf numFmtId="0" fontId="24" fillId="7" borderId="88" xfId="0" applyFont="1" applyFill="1" applyBorder="1" applyAlignment="1" applyProtection="1">
      <alignment horizontal="center" vertical="center" wrapText="1"/>
    </xf>
    <xf numFmtId="0" fontId="8" fillId="7" borderId="36" xfId="0" applyFont="1" applyFill="1" applyBorder="1" applyAlignment="1" applyProtection="1">
      <alignment horizontal="center" vertical="center" wrapText="1"/>
    </xf>
    <xf numFmtId="0" fontId="8" fillId="7" borderId="15" xfId="0" applyFont="1" applyFill="1" applyBorder="1" applyAlignment="1" applyProtection="1">
      <alignment horizontal="center" vertical="center" wrapText="1"/>
    </xf>
    <xf numFmtId="0" fontId="8" fillId="7" borderId="16" xfId="0" applyFont="1" applyFill="1" applyBorder="1" applyAlignment="1" applyProtection="1">
      <alignment horizontal="center" vertical="center" wrapText="1"/>
    </xf>
    <xf numFmtId="0" fontId="8" fillId="7" borderId="13" xfId="0" applyFont="1" applyFill="1" applyBorder="1" applyAlignment="1" applyProtection="1">
      <alignment horizontal="center" vertical="center" wrapText="1"/>
    </xf>
    <xf numFmtId="0" fontId="8" fillId="7" borderId="0" xfId="0" applyFont="1" applyFill="1" applyBorder="1" applyAlignment="1" applyProtection="1">
      <alignment horizontal="center" vertical="center" wrapText="1"/>
    </xf>
    <xf numFmtId="0" fontId="8" fillId="7" borderId="18" xfId="0" applyFont="1" applyFill="1" applyBorder="1" applyAlignment="1" applyProtection="1">
      <alignment horizontal="center" vertical="center" wrapText="1"/>
    </xf>
    <xf numFmtId="0" fontId="8" fillId="7" borderId="17" xfId="0" applyFont="1" applyFill="1" applyBorder="1" applyAlignment="1" applyProtection="1">
      <alignment horizontal="center" vertical="center" wrapText="1"/>
    </xf>
    <xf numFmtId="0" fontId="8" fillId="7" borderId="14" xfId="0" applyFont="1" applyFill="1" applyBorder="1" applyAlignment="1" applyProtection="1">
      <alignment horizontal="center" vertical="center" wrapText="1"/>
    </xf>
    <xf numFmtId="0" fontId="8" fillId="7" borderId="19" xfId="0" applyFont="1" applyFill="1" applyBorder="1" applyAlignment="1" applyProtection="1">
      <alignment horizontal="center" vertical="center" wrapText="1"/>
    </xf>
    <xf numFmtId="0" fontId="7" fillId="7" borderId="36" xfId="0" applyFont="1" applyFill="1" applyBorder="1" applyAlignment="1" applyProtection="1">
      <alignment horizontal="center" vertical="center"/>
    </xf>
    <xf numFmtId="0" fontId="7" fillId="7" borderId="15" xfId="0" applyFont="1" applyFill="1" applyBorder="1" applyAlignment="1" applyProtection="1">
      <alignment horizontal="center" vertical="center"/>
    </xf>
    <xf numFmtId="0" fontId="7" fillId="7" borderId="16" xfId="0" applyFont="1" applyFill="1" applyBorder="1" applyAlignment="1" applyProtection="1">
      <alignment horizontal="center" vertical="center"/>
    </xf>
    <xf numFmtId="0" fontId="7" fillId="7" borderId="13" xfId="0" applyFont="1" applyFill="1" applyBorder="1" applyAlignment="1" applyProtection="1">
      <alignment horizontal="center" vertical="center"/>
    </xf>
    <xf numFmtId="0" fontId="7" fillId="7" borderId="0" xfId="0" applyFont="1" applyFill="1" applyBorder="1" applyAlignment="1" applyProtection="1">
      <alignment horizontal="center" vertical="center"/>
    </xf>
    <xf numFmtId="0" fontId="7" fillId="7" borderId="18" xfId="0" applyFont="1" applyFill="1" applyBorder="1" applyAlignment="1" applyProtection="1">
      <alignment horizontal="center" vertical="center"/>
    </xf>
    <xf numFmtId="0" fontId="7" fillId="7" borderId="17" xfId="0" applyFont="1" applyFill="1" applyBorder="1" applyAlignment="1" applyProtection="1">
      <alignment horizontal="center" vertical="center"/>
    </xf>
    <xf numFmtId="0" fontId="7" fillId="7" borderId="14" xfId="0" applyFont="1" applyFill="1" applyBorder="1" applyAlignment="1" applyProtection="1">
      <alignment horizontal="center" vertical="center"/>
    </xf>
    <xf numFmtId="0" fontId="7" fillId="7" borderId="19" xfId="0" applyFont="1" applyFill="1" applyBorder="1" applyAlignment="1" applyProtection="1">
      <alignment horizontal="center" vertical="center"/>
    </xf>
    <xf numFmtId="0" fontId="7" fillId="8" borderId="15" xfId="0" applyNumberFormat="1" applyFont="1" applyFill="1" applyBorder="1" applyAlignment="1" applyProtection="1">
      <alignment horizontal="center" vertical="center"/>
      <protection locked="0"/>
    </xf>
    <xf numFmtId="0" fontId="7" fillId="8" borderId="14" xfId="0" applyNumberFormat="1" applyFont="1" applyFill="1" applyBorder="1" applyAlignment="1" applyProtection="1">
      <alignment horizontal="center" vertical="center"/>
      <protection locked="0"/>
    </xf>
    <xf numFmtId="0" fontId="45" fillId="7" borderId="36" xfId="0" applyFont="1" applyFill="1" applyBorder="1" applyAlignment="1" applyProtection="1">
      <alignment horizontal="right" vertical="center"/>
    </xf>
    <xf numFmtId="0" fontId="45" fillId="7" borderId="17" xfId="0" applyFont="1" applyFill="1" applyBorder="1" applyAlignment="1" applyProtection="1">
      <alignment horizontal="right" vertical="center"/>
    </xf>
    <xf numFmtId="0" fontId="45" fillId="7" borderId="15" xfId="0" applyFont="1" applyFill="1" applyBorder="1" applyAlignment="1" applyProtection="1">
      <alignment horizontal="left" vertical="center"/>
    </xf>
    <xf numFmtId="0" fontId="45" fillId="7" borderId="14" xfId="0" applyFont="1" applyFill="1" applyBorder="1" applyAlignment="1" applyProtection="1">
      <alignment horizontal="left" vertical="center"/>
    </xf>
    <xf numFmtId="0" fontId="20" fillId="8" borderId="39" xfId="0" applyFont="1" applyFill="1" applyBorder="1" applyAlignment="1" applyProtection="1">
      <alignment horizontal="center" vertical="center"/>
      <protection locked="0"/>
    </xf>
    <xf numFmtId="0" fontId="20" fillId="8" borderId="49" xfId="0" applyFont="1" applyFill="1" applyBorder="1" applyAlignment="1" applyProtection="1">
      <alignment horizontal="center" vertical="center"/>
      <protection locked="0"/>
    </xf>
    <xf numFmtId="0" fontId="20" fillId="8" borderId="38" xfId="0" applyFont="1" applyFill="1" applyBorder="1" applyAlignment="1" applyProtection="1">
      <alignment horizontal="center" vertical="center"/>
      <protection locked="0"/>
    </xf>
    <xf numFmtId="0" fontId="20" fillId="8" borderId="80" xfId="0" applyFont="1" applyFill="1" applyBorder="1" applyAlignment="1" applyProtection="1">
      <alignment horizontal="center" vertical="center"/>
      <protection locked="0"/>
    </xf>
    <xf numFmtId="0" fontId="0" fillId="7" borderId="39" xfId="0" applyFill="1" applyBorder="1" applyAlignment="1" applyProtection="1">
      <alignment horizontal="center" vertical="center"/>
    </xf>
    <xf numFmtId="0" fontId="0" fillId="7" borderId="15" xfId="0" applyFill="1" applyBorder="1" applyAlignment="1" applyProtection="1">
      <alignment horizontal="center" vertical="center"/>
    </xf>
    <xf numFmtId="0" fontId="0" fillId="7" borderId="81" xfId="0" applyFill="1" applyBorder="1" applyAlignment="1" applyProtection="1">
      <alignment horizontal="center" vertical="center"/>
    </xf>
    <xf numFmtId="0" fontId="0" fillId="7" borderId="4" xfId="0" applyFill="1" applyBorder="1" applyAlignment="1" applyProtection="1">
      <alignment horizontal="center" vertical="center"/>
    </xf>
    <xf numFmtId="0" fontId="0" fillId="7" borderId="26" xfId="0" applyFill="1" applyBorder="1" applyAlignment="1" applyProtection="1">
      <alignment horizontal="center" vertical="center"/>
    </xf>
    <xf numFmtId="0" fontId="0" fillId="7" borderId="58" xfId="0" applyFill="1" applyBorder="1" applyAlignment="1" applyProtection="1">
      <alignment horizontal="center" vertical="center"/>
    </xf>
    <xf numFmtId="0" fontId="39" fillId="8" borderId="92" xfId="0" applyFont="1" applyFill="1" applyBorder="1" applyAlignment="1" applyProtection="1">
      <alignment horizontal="center" vertical="center"/>
      <protection locked="0"/>
    </xf>
    <xf numFmtId="0" fontId="39" fillId="8" borderId="93" xfId="0" applyFont="1" applyFill="1" applyBorder="1" applyAlignment="1" applyProtection="1">
      <alignment horizontal="center" vertical="center"/>
      <protection locked="0"/>
    </xf>
    <xf numFmtId="0" fontId="39" fillId="8" borderId="22" xfId="0" applyFont="1" applyFill="1" applyBorder="1" applyAlignment="1" applyProtection="1">
      <alignment horizontal="center" vertical="center"/>
      <protection locked="0"/>
    </xf>
    <xf numFmtId="0" fontId="39" fillId="8" borderId="94" xfId="0" applyFont="1" applyFill="1" applyBorder="1" applyAlignment="1" applyProtection="1">
      <alignment horizontal="center" vertical="center"/>
      <protection locked="0"/>
    </xf>
    <xf numFmtId="0" fontId="0" fillId="7" borderId="99" xfId="0" applyFont="1" applyFill="1" applyBorder="1" applyAlignment="1" applyProtection="1">
      <alignment horizontal="center" vertical="center"/>
    </xf>
    <xf numFmtId="0" fontId="0" fillId="7" borderId="98" xfId="0" applyFont="1" applyFill="1" applyBorder="1" applyAlignment="1" applyProtection="1">
      <alignment horizontal="center" vertical="center"/>
    </xf>
    <xf numFmtId="0" fontId="51" fillId="7" borderId="100" xfId="0" applyNumberFormat="1" applyFont="1" applyFill="1" applyBorder="1" applyAlignment="1" applyProtection="1">
      <alignment horizontal="center" vertical="center"/>
    </xf>
    <xf numFmtId="0" fontId="51" fillId="7" borderId="96" xfId="0" applyNumberFormat="1" applyFont="1" applyFill="1" applyBorder="1" applyAlignment="1" applyProtection="1">
      <alignment horizontal="center" vertical="center"/>
    </xf>
    <xf numFmtId="0" fontId="51" fillId="7" borderId="101" xfId="0" applyNumberFormat="1" applyFont="1" applyFill="1" applyBorder="1" applyAlignment="1" applyProtection="1">
      <alignment horizontal="center" vertical="center"/>
    </xf>
    <xf numFmtId="0" fontId="51" fillId="7" borderId="94" xfId="0" applyNumberFormat="1" applyFont="1" applyFill="1" applyBorder="1" applyAlignment="1" applyProtection="1">
      <alignment horizontal="center" vertical="center"/>
    </xf>
    <xf numFmtId="0" fontId="39" fillId="8" borderId="95" xfId="0" applyFont="1" applyFill="1" applyBorder="1" applyAlignment="1" applyProtection="1">
      <alignment horizontal="center" vertical="center"/>
      <protection locked="0"/>
    </xf>
    <xf numFmtId="0" fontId="39" fillId="8" borderId="96" xfId="0" applyFont="1" applyFill="1" applyBorder="1" applyAlignment="1" applyProtection="1">
      <alignment horizontal="center" vertical="center"/>
      <protection locked="0"/>
    </xf>
    <xf numFmtId="0" fontId="7" fillId="7" borderId="97" xfId="0" applyFont="1" applyFill="1" applyBorder="1" applyAlignment="1" applyProtection="1">
      <alignment horizontal="center" vertical="center"/>
    </xf>
    <xf numFmtId="0" fontId="7" fillId="7" borderId="98" xfId="0" applyFont="1" applyFill="1" applyBorder="1" applyAlignment="1" applyProtection="1">
      <alignment horizontal="center" vertical="center"/>
    </xf>
    <xf numFmtId="0" fontId="38" fillId="7" borderId="17" xfId="0" applyFont="1" applyFill="1" applyBorder="1" applyAlignment="1" applyProtection="1">
      <alignment horizontal="left" vertical="center" wrapText="1"/>
    </xf>
    <xf numFmtId="0" fontId="0" fillId="0" borderId="14" xfId="0" applyBorder="1" applyAlignment="1">
      <alignment horizontal="left" vertical="center"/>
    </xf>
    <xf numFmtId="0" fontId="0" fillId="0" borderId="19" xfId="0" applyBorder="1" applyAlignment="1">
      <alignment horizontal="left" vertical="center"/>
    </xf>
    <xf numFmtId="0" fontId="50" fillId="7" borderId="36" xfId="0" applyFont="1" applyFill="1" applyBorder="1" applyAlignment="1" applyProtection="1">
      <alignment horizontal="center" vertical="center"/>
    </xf>
    <xf numFmtId="0" fontId="50" fillId="7" borderId="16" xfId="0" applyFont="1" applyFill="1" applyBorder="1" applyAlignment="1" applyProtection="1">
      <alignment horizontal="center" vertical="center"/>
    </xf>
    <xf numFmtId="0" fontId="50" fillId="7" borderId="13" xfId="0" applyFont="1" applyFill="1" applyBorder="1" applyAlignment="1" applyProtection="1">
      <alignment horizontal="center" vertical="center"/>
    </xf>
    <xf numFmtId="0" fontId="50" fillId="7" borderId="18" xfId="0" applyFont="1" applyFill="1" applyBorder="1" applyAlignment="1" applyProtection="1">
      <alignment horizontal="center" vertical="center"/>
    </xf>
    <xf numFmtId="0" fontId="50" fillId="7" borderId="17" xfId="0" applyFont="1" applyFill="1" applyBorder="1" applyAlignment="1" applyProtection="1">
      <alignment horizontal="center" vertical="center"/>
    </xf>
    <xf numFmtId="0" fontId="50" fillId="7" borderId="19" xfId="0" applyFont="1" applyFill="1" applyBorder="1" applyAlignment="1" applyProtection="1">
      <alignment horizontal="center" vertical="center"/>
    </xf>
    <xf numFmtId="0" fontId="0" fillId="2" borderId="0" xfId="0" applyFill="1" applyBorder="1" applyAlignment="1" applyProtection="1">
      <alignment horizontal="center" vertical="center" wrapText="1"/>
      <protection locked="0"/>
    </xf>
    <xf numFmtId="179" fontId="0" fillId="2" borderId="0" xfId="0" applyNumberFormat="1" applyFill="1" applyBorder="1" applyAlignment="1" applyProtection="1">
      <alignment horizontal="center" vertical="center"/>
      <protection locked="0"/>
    </xf>
    <xf numFmtId="0" fontId="28" fillId="7" borderId="102"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1" xfId="0" applyFont="1" applyFill="1" applyBorder="1" applyAlignment="1" applyProtection="1">
      <alignment horizontal="center" vertical="center" wrapText="1"/>
    </xf>
    <xf numFmtId="0" fontId="33" fillId="8" borderId="6" xfId="0" applyFont="1" applyFill="1" applyBorder="1" applyAlignment="1" applyProtection="1">
      <alignment horizontal="center" vertical="center"/>
    </xf>
    <xf numFmtId="0" fontId="33" fillId="8" borderId="1" xfId="0" applyFont="1" applyFill="1" applyBorder="1" applyAlignment="1" applyProtection="1">
      <alignment horizontal="center" vertical="center"/>
    </xf>
    <xf numFmtId="0" fontId="40" fillId="2" borderId="0" xfId="0" applyFont="1" applyFill="1" applyBorder="1" applyAlignment="1" applyProtection="1">
      <alignment horizontal="center" vertical="center"/>
    </xf>
    <xf numFmtId="0" fontId="40" fillId="2" borderId="18" xfId="0" applyFont="1" applyFill="1" applyBorder="1" applyAlignment="1" applyProtection="1">
      <alignment horizontal="center" vertical="center"/>
    </xf>
    <xf numFmtId="0" fontId="0" fillId="7" borderId="6" xfId="0" applyFill="1" applyBorder="1" applyAlignment="1" applyProtection="1">
      <alignment horizontal="center" vertical="center"/>
    </xf>
    <xf numFmtId="0" fontId="0" fillId="7" borderId="56" xfId="0" applyFill="1" applyBorder="1" applyAlignment="1" applyProtection="1">
      <alignment horizontal="center" vertical="center"/>
    </xf>
    <xf numFmtId="0" fontId="0" fillId="7" borderId="8" xfId="0" applyFill="1" applyBorder="1" applyAlignment="1" applyProtection="1">
      <alignment horizontal="center" vertical="center"/>
    </xf>
    <xf numFmtId="180" fontId="0" fillId="8" borderId="103" xfId="0" applyNumberFormat="1" applyFill="1" applyBorder="1" applyAlignment="1" applyProtection="1">
      <alignment horizontal="right" vertical="center" wrapText="1"/>
      <protection locked="0"/>
    </xf>
    <xf numFmtId="180" fontId="0" fillId="8" borderId="33" xfId="0" applyNumberFormat="1" applyFill="1" applyBorder="1" applyAlignment="1" applyProtection="1">
      <alignment horizontal="right" vertical="center" wrapText="1"/>
      <protection locked="0"/>
    </xf>
    <xf numFmtId="180" fontId="0" fillId="8" borderId="35" xfId="0" applyNumberFormat="1" applyFill="1" applyBorder="1" applyAlignment="1" applyProtection="1">
      <alignment horizontal="right" vertical="center" wrapText="1"/>
      <protection locked="0"/>
    </xf>
    <xf numFmtId="0" fontId="0" fillId="7" borderId="22" xfId="0" applyFill="1" applyBorder="1" applyAlignment="1" applyProtection="1">
      <alignment vertical="center"/>
    </xf>
    <xf numFmtId="0" fontId="41" fillId="2" borderId="84" xfId="0" applyFont="1" applyFill="1" applyBorder="1" applyAlignment="1">
      <alignment horizontal="center" vertical="center"/>
    </xf>
    <xf numFmtId="0" fontId="41" fillId="2" borderId="75" xfId="0" applyFont="1" applyFill="1" applyBorder="1" applyAlignment="1">
      <alignment horizontal="center" vertical="center"/>
    </xf>
    <xf numFmtId="0" fontId="41" fillId="2" borderId="4" xfId="0" applyFont="1" applyFill="1" applyBorder="1" applyAlignment="1">
      <alignment horizontal="center" vertical="center"/>
    </xf>
    <xf numFmtId="0" fontId="41" fillId="2" borderId="58" xfId="0" applyFont="1" applyFill="1" applyBorder="1" applyAlignment="1">
      <alignment horizontal="center" vertical="center"/>
    </xf>
    <xf numFmtId="0" fontId="0" fillId="2" borderId="2" xfId="0" applyFill="1" applyBorder="1" applyAlignment="1">
      <alignment horizontal="center" vertical="center"/>
    </xf>
    <xf numFmtId="0" fontId="29" fillId="5" borderId="2" xfId="0" applyFont="1" applyFill="1" applyBorder="1" applyAlignment="1">
      <alignment horizontal="center" vertical="center"/>
    </xf>
    <xf numFmtId="0" fontId="29" fillId="6" borderId="2" xfId="0" applyFont="1" applyFill="1" applyBorder="1" applyAlignment="1">
      <alignment horizontal="center" vertical="center"/>
    </xf>
    <xf numFmtId="38" fontId="0" fillId="0" borderId="63" xfId="0" applyNumberForma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38" fontId="0" fillId="0" borderId="9" xfId="0" applyNumberFormat="1" applyBorder="1" applyAlignment="1">
      <alignment horizontal="center" vertical="center"/>
    </xf>
    <xf numFmtId="0" fontId="0" fillId="2" borderId="72" xfId="0" applyFont="1" applyFill="1" applyBorder="1" applyAlignment="1">
      <alignment horizontal="center" vertical="center"/>
    </xf>
    <xf numFmtId="0" fontId="0" fillId="2" borderId="7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2"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6" xfId="0" applyFont="1" applyFill="1" applyBorder="1" applyAlignment="1">
      <alignment horizontal="center" vertical="center"/>
    </xf>
    <xf numFmtId="0" fontId="0" fillId="2" borderId="77" xfId="0" applyFont="1" applyFill="1" applyBorder="1" applyAlignment="1">
      <alignment horizontal="center" vertical="center"/>
    </xf>
    <xf numFmtId="0" fontId="0" fillId="2" borderId="78" xfId="0" applyFont="1" applyFill="1" applyBorder="1" applyAlignment="1">
      <alignment horizontal="center" vertical="center"/>
    </xf>
    <xf numFmtId="0" fontId="0" fillId="2" borderId="79" xfId="0" applyFont="1" applyFill="1" applyBorder="1" applyAlignment="1">
      <alignment horizontal="center" vertical="center"/>
    </xf>
    <xf numFmtId="0" fontId="0" fillId="0" borderId="76" xfId="0" applyFont="1" applyBorder="1" applyAlignment="1">
      <alignment horizontal="center" vertical="center"/>
    </xf>
    <xf numFmtId="0" fontId="0" fillId="0" borderId="77" xfId="0" applyFont="1" applyBorder="1" applyAlignment="1">
      <alignment horizontal="center" vertical="center"/>
    </xf>
    <xf numFmtId="0" fontId="0" fillId="0" borderId="78" xfId="0" applyFont="1" applyBorder="1" applyAlignment="1">
      <alignment horizontal="center" vertical="center"/>
    </xf>
    <xf numFmtId="0" fontId="0" fillId="0" borderId="79" xfId="0" applyFont="1" applyBorder="1" applyAlignment="1">
      <alignment horizontal="center" vertical="center"/>
    </xf>
    <xf numFmtId="0" fontId="0" fillId="0" borderId="72" xfId="0" applyFont="1" applyFill="1" applyBorder="1" applyAlignment="1">
      <alignment horizontal="center" vertical="center"/>
    </xf>
    <xf numFmtId="0" fontId="0" fillId="0" borderId="74" xfId="0" applyFont="1" applyFill="1" applyBorder="1" applyAlignment="1">
      <alignment horizontal="center" vertical="center"/>
    </xf>
  </cellXfs>
  <cellStyles count="5">
    <cellStyle name="スタイル 1" xfId="1"/>
    <cellStyle name="パーセント" xfId="2" builtinId="5"/>
    <cellStyle name="桁区切り" xfId="3" builtinId="6"/>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25239219584941"/>
          <c:y val="0.15264820727494541"/>
          <c:w val="0.8569829244339946"/>
          <c:h val="0.62928444631712244"/>
        </c:manualLayout>
      </c:layout>
      <c:barChart>
        <c:barDir val="col"/>
        <c:grouping val="clustered"/>
        <c:varyColors val="0"/>
        <c:ser>
          <c:idx val="0"/>
          <c:order val="0"/>
          <c:tx>
            <c:v>収入</c:v>
          </c:tx>
          <c:invertIfNegative val="0"/>
          <c:val>
            <c:numRef>
              <c:f>シート１!$P$26:$P$50</c:f>
              <c:numCache>
                <c:formatCode>#,##0_ ;[Red]\-#,##0\ </c:formatCode>
                <c:ptCount val="25"/>
                <c:pt idx="0">
                  <c:v>300</c:v>
                </c:pt>
                <c:pt idx="1">
                  <c:v>300</c:v>
                </c:pt>
                <c:pt idx="2">
                  <c:v>300</c:v>
                </c:pt>
                <c:pt idx="3">
                  <c:v>300</c:v>
                </c:pt>
                <c:pt idx="4">
                  <c:v>300</c:v>
                </c:pt>
                <c:pt idx="5">
                  <c:v>300</c:v>
                </c:pt>
                <c:pt idx="6">
                  <c:v>300</c:v>
                </c:pt>
                <c:pt idx="7">
                  <c:v>300</c:v>
                </c:pt>
                <c:pt idx="8">
                  <c:v>300</c:v>
                </c:pt>
                <c:pt idx="9">
                  <c:v>300</c:v>
                </c:pt>
                <c:pt idx="10">
                  <c:v>300</c:v>
                </c:pt>
                <c:pt idx="11">
                  <c:v>300</c:v>
                </c:pt>
                <c:pt idx="12">
                  <c:v>300</c:v>
                </c:pt>
                <c:pt idx="13">
                  <c:v>300</c:v>
                </c:pt>
                <c:pt idx="14">
                  <c:v>300</c:v>
                </c:pt>
                <c:pt idx="15">
                  <c:v>300</c:v>
                </c:pt>
                <c:pt idx="16">
                  <c:v>300</c:v>
                </c:pt>
                <c:pt idx="17">
                  <c:v>300</c:v>
                </c:pt>
                <c:pt idx="18">
                  <c:v>300</c:v>
                </c:pt>
                <c:pt idx="19">
                  <c:v>300</c:v>
                </c:pt>
                <c:pt idx="20">
                  <c:v>300</c:v>
                </c:pt>
                <c:pt idx="21">
                  <c:v>300</c:v>
                </c:pt>
                <c:pt idx="22">
                  <c:v>300</c:v>
                </c:pt>
                <c:pt idx="23">
                  <c:v>300</c:v>
                </c:pt>
                <c:pt idx="24">
                  <c:v>300</c:v>
                </c:pt>
              </c:numCache>
            </c:numRef>
          </c:val>
          <c:extLst>
            <c:ext xmlns:c16="http://schemas.microsoft.com/office/drawing/2014/chart" uri="{C3380CC4-5D6E-409C-BE32-E72D297353CC}">
              <c16:uniqueId val="{00000000-40DA-4C34-8560-19E518A07370}"/>
            </c:ext>
          </c:extLst>
        </c:ser>
        <c:ser>
          <c:idx val="1"/>
          <c:order val="1"/>
          <c:tx>
            <c:v>支出</c:v>
          </c:tx>
          <c:spPr>
            <a:solidFill>
              <a:srgbClr val="FF0000"/>
            </a:solidFill>
          </c:spPr>
          <c:invertIfNegative val="0"/>
          <c:val>
            <c:numRef>
              <c:f>シート１!$Y$26:$Y$50</c:f>
              <c:numCache>
                <c:formatCode>#,##0_ ;[Red]\-#,##0\ </c:formatCode>
                <c:ptCount val="25"/>
                <c:pt idx="0">
                  <c:v>384.79619018756523</c:v>
                </c:pt>
                <c:pt idx="1">
                  <c:v>384.79619018756523</c:v>
                </c:pt>
                <c:pt idx="2">
                  <c:v>384.79619018756523</c:v>
                </c:pt>
                <c:pt idx="3">
                  <c:v>406.0211901875652</c:v>
                </c:pt>
                <c:pt idx="4">
                  <c:v>406.86507907645409</c:v>
                </c:pt>
                <c:pt idx="5">
                  <c:v>406.86507907645409</c:v>
                </c:pt>
                <c:pt idx="6">
                  <c:v>454.55285685423189</c:v>
                </c:pt>
                <c:pt idx="7">
                  <c:v>477.3378479499388</c:v>
                </c:pt>
                <c:pt idx="8">
                  <c:v>426.55285685423189</c:v>
                </c:pt>
                <c:pt idx="9">
                  <c:v>426.55285685423189</c:v>
                </c:pt>
                <c:pt idx="10">
                  <c:v>372.55285685423189</c:v>
                </c:pt>
                <c:pt idx="11">
                  <c:v>372.55285685423189</c:v>
                </c:pt>
                <c:pt idx="12">
                  <c:v>388.55285685423189</c:v>
                </c:pt>
                <c:pt idx="13">
                  <c:v>388.55285685423189</c:v>
                </c:pt>
                <c:pt idx="14">
                  <c:v>388.06333333333333</c:v>
                </c:pt>
                <c:pt idx="15">
                  <c:v>377.06333333333333</c:v>
                </c:pt>
                <c:pt idx="16">
                  <c:v>377.06333333333333</c:v>
                </c:pt>
                <c:pt idx="17">
                  <c:v>377.06333333333333</c:v>
                </c:pt>
                <c:pt idx="18">
                  <c:v>413.06333333333333</c:v>
                </c:pt>
                <c:pt idx="19">
                  <c:v>385.06333333333333</c:v>
                </c:pt>
                <c:pt idx="20">
                  <c:v>385.06333333333333</c:v>
                </c:pt>
                <c:pt idx="21">
                  <c:v>385.06333333333333</c:v>
                </c:pt>
                <c:pt idx="22">
                  <c:v>331.06333333333333</c:v>
                </c:pt>
                <c:pt idx="23">
                  <c:v>331.06333333333333</c:v>
                </c:pt>
                <c:pt idx="24">
                  <c:v>331.06333333333333</c:v>
                </c:pt>
              </c:numCache>
            </c:numRef>
          </c:val>
          <c:extLst>
            <c:ext xmlns:c16="http://schemas.microsoft.com/office/drawing/2014/chart" uri="{C3380CC4-5D6E-409C-BE32-E72D297353CC}">
              <c16:uniqueId val="{00000001-40DA-4C34-8560-19E518A07370}"/>
            </c:ext>
          </c:extLst>
        </c:ser>
        <c:dLbls>
          <c:showLegendKey val="0"/>
          <c:showVal val="0"/>
          <c:showCatName val="0"/>
          <c:showSerName val="0"/>
          <c:showPercent val="0"/>
          <c:showBubbleSize val="0"/>
        </c:dLbls>
        <c:gapWidth val="150"/>
        <c:axId val="244370624"/>
        <c:axId val="1"/>
      </c:barChart>
      <c:lineChart>
        <c:grouping val="standard"/>
        <c:varyColors val="0"/>
        <c:ser>
          <c:idx val="2"/>
          <c:order val="2"/>
          <c:tx>
            <c:v>収支</c:v>
          </c:tx>
          <c:spPr>
            <a:ln>
              <a:solidFill>
                <a:srgbClr val="00B050"/>
              </a:solidFill>
            </a:ln>
          </c:spPr>
          <c:marker>
            <c:symbol val="circle"/>
            <c:size val="7"/>
          </c:marker>
          <c:val>
            <c:numRef>
              <c:f>シート１!$Z$26:$Z$50</c:f>
              <c:numCache>
                <c:formatCode>#,##0_ ;[Red]\-#,##0\ </c:formatCode>
                <c:ptCount val="25"/>
                <c:pt idx="0">
                  <c:v>-84.79619018756523</c:v>
                </c:pt>
                <c:pt idx="1">
                  <c:v>-84.79619018756523</c:v>
                </c:pt>
                <c:pt idx="2">
                  <c:v>-84.79619018756523</c:v>
                </c:pt>
                <c:pt idx="3">
                  <c:v>-106.0211901875652</c:v>
                </c:pt>
                <c:pt idx="4">
                  <c:v>-106.86507907645409</c:v>
                </c:pt>
                <c:pt idx="5">
                  <c:v>-106.86507907645409</c:v>
                </c:pt>
                <c:pt idx="6">
                  <c:v>-154.55285685423189</c:v>
                </c:pt>
                <c:pt idx="7">
                  <c:v>-177.3378479499388</c:v>
                </c:pt>
                <c:pt idx="8">
                  <c:v>-126.55285685423189</c:v>
                </c:pt>
                <c:pt idx="9">
                  <c:v>-126.55285685423189</c:v>
                </c:pt>
                <c:pt idx="10">
                  <c:v>-72.552856854231891</c:v>
                </c:pt>
                <c:pt idx="11">
                  <c:v>-72.552856854231891</c:v>
                </c:pt>
                <c:pt idx="12">
                  <c:v>-88.552856854231891</c:v>
                </c:pt>
                <c:pt idx="13">
                  <c:v>-88.552856854231891</c:v>
                </c:pt>
                <c:pt idx="14">
                  <c:v>-88.063333333333333</c:v>
                </c:pt>
                <c:pt idx="15">
                  <c:v>-77.063333333333333</c:v>
                </c:pt>
                <c:pt idx="16">
                  <c:v>-77.063333333333333</c:v>
                </c:pt>
                <c:pt idx="17">
                  <c:v>-77.063333333333333</c:v>
                </c:pt>
                <c:pt idx="18">
                  <c:v>-113.06333333333333</c:v>
                </c:pt>
                <c:pt idx="19">
                  <c:v>-85.063333333333333</c:v>
                </c:pt>
                <c:pt idx="20">
                  <c:v>-85.063333333333333</c:v>
                </c:pt>
                <c:pt idx="21">
                  <c:v>-85.063333333333333</c:v>
                </c:pt>
                <c:pt idx="22">
                  <c:v>-31.063333333333333</c:v>
                </c:pt>
                <c:pt idx="23">
                  <c:v>-31.063333333333333</c:v>
                </c:pt>
                <c:pt idx="24">
                  <c:v>-31.063333333333333</c:v>
                </c:pt>
              </c:numCache>
            </c:numRef>
          </c:val>
          <c:smooth val="0"/>
          <c:extLst>
            <c:ext xmlns:c16="http://schemas.microsoft.com/office/drawing/2014/chart" uri="{C3380CC4-5D6E-409C-BE32-E72D297353CC}">
              <c16:uniqueId val="{00000002-40DA-4C34-8560-19E518A07370}"/>
            </c:ext>
          </c:extLst>
        </c:ser>
        <c:ser>
          <c:idx val="3"/>
          <c:order val="3"/>
          <c:tx>
            <c:v>貯蓄残高</c:v>
          </c:tx>
          <c:spPr>
            <a:ln>
              <a:solidFill>
                <a:srgbClr val="FFC000"/>
              </a:solidFill>
            </a:ln>
          </c:spPr>
          <c:marker>
            <c:symbol val="square"/>
            <c:size val="7"/>
            <c:spPr>
              <a:solidFill>
                <a:srgbClr val="FFC000"/>
              </a:solidFill>
              <a:ln>
                <a:solidFill>
                  <a:srgbClr val="FFC000"/>
                </a:solidFill>
              </a:ln>
            </c:spPr>
          </c:marker>
          <c:val>
            <c:numRef>
              <c:f>シート１!$AA$26:$AA$50</c:f>
              <c:numCache>
                <c:formatCode>#,##0_ ;[Red]\-#,##0\ </c:formatCode>
                <c:ptCount val="25"/>
                <c:pt idx="0">
                  <c:v>115.20380981243477</c:v>
                </c:pt>
                <c:pt idx="1">
                  <c:v>30.40761962486954</c:v>
                </c:pt>
                <c:pt idx="2">
                  <c:v>-54.388570562695691</c:v>
                </c:pt>
                <c:pt idx="3">
                  <c:v>-160.40976075026089</c:v>
                </c:pt>
                <c:pt idx="4">
                  <c:v>-267.27483982671498</c:v>
                </c:pt>
                <c:pt idx="5">
                  <c:v>-374.13991890316908</c:v>
                </c:pt>
                <c:pt idx="6">
                  <c:v>-528.69277575740102</c:v>
                </c:pt>
                <c:pt idx="7">
                  <c:v>-706.03062370733983</c:v>
                </c:pt>
                <c:pt idx="8">
                  <c:v>-832.58348056157172</c:v>
                </c:pt>
                <c:pt idx="9">
                  <c:v>-959.13633741580361</c:v>
                </c:pt>
                <c:pt idx="10">
                  <c:v>-1031.6891942700354</c:v>
                </c:pt>
                <c:pt idx="11">
                  <c:v>-1104.2420511242672</c:v>
                </c:pt>
                <c:pt idx="12">
                  <c:v>-1192.7949079784989</c:v>
                </c:pt>
                <c:pt idx="13">
                  <c:v>-1281.3477648327307</c:v>
                </c:pt>
                <c:pt idx="14">
                  <c:v>-1369.411098166064</c:v>
                </c:pt>
                <c:pt idx="15">
                  <c:v>-1446.4744314993973</c:v>
                </c:pt>
                <c:pt idx="16">
                  <c:v>-1523.5377648327305</c:v>
                </c:pt>
                <c:pt idx="17">
                  <c:v>-1600.6010981660638</c:v>
                </c:pt>
                <c:pt idx="18">
                  <c:v>-1713.6644314993971</c:v>
                </c:pt>
                <c:pt idx="19">
                  <c:v>-1798.7277648327304</c:v>
                </c:pt>
                <c:pt idx="20">
                  <c:v>-1883.7910981660636</c:v>
                </c:pt>
                <c:pt idx="21">
                  <c:v>-1968.8544314993969</c:v>
                </c:pt>
                <c:pt idx="22">
                  <c:v>-1999.9177648327302</c:v>
                </c:pt>
                <c:pt idx="23">
                  <c:v>-2030.9810981660635</c:v>
                </c:pt>
                <c:pt idx="24">
                  <c:v>-2062.044431499397</c:v>
                </c:pt>
              </c:numCache>
            </c:numRef>
          </c:val>
          <c:smooth val="0"/>
          <c:extLst>
            <c:ext xmlns:c16="http://schemas.microsoft.com/office/drawing/2014/chart" uri="{C3380CC4-5D6E-409C-BE32-E72D297353CC}">
              <c16:uniqueId val="{00000003-40DA-4C34-8560-19E518A07370}"/>
            </c:ext>
          </c:extLst>
        </c:ser>
        <c:ser>
          <c:idx val="4"/>
          <c:order val="4"/>
          <c:tx>
            <c:v>ローン残高</c:v>
          </c:tx>
          <c:val>
            <c:numRef>
              <c:f>シート１!$AB$26:$AB$50</c:f>
              <c:numCache>
                <c:formatCode>#,##0_ ;[Red]\-#,##0\ </c:formatCode>
                <c:ptCount val="25"/>
                <c:pt idx="0">
                  <c:v>95</c:v>
                </c:pt>
                <c:pt idx="1">
                  <c:v>91</c:v>
                </c:pt>
                <c:pt idx="2">
                  <c:v>86</c:v>
                </c:pt>
                <c:pt idx="3">
                  <c:v>80</c:v>
                </c:pt>
                <c:pt idx="4">
                  <c:v>75</c:v>
                </c:pt>
                <c:pt idx="5">
                  <c:v>69</c:v>
                </c:pt>
                <c:pt idx="6">
                  <c:v>62</c:v>
                </c:pt>
                <c:pt idx="7">
                  <c:v>106</c:v>
                </c:pt>
                <c:pt idx="8">
                  <c:v>49</c:v>
                </c:pt>
                <c:pt idx="9">
                  <c:v>42</c:v>
                </c:pt>
                <c:pt idx="10">
                  <c:v>34</c:v>
                </c:pt>
                <c:pt idx="11">
                  <c:v>26</c:v>
                </c:pt>
                <c:pt idx="12">
                  <c:v>18</c:v>
                </c:pt>
                <c:pt idx="13">
                  <c:v>9</c:v>
                </c:pt>
                <c:pt idx="14">
                  <c:v>0</c:v>
                </c:pt>
                <c:pt idx="15">
                  <c:v>0</c:v>
                </c:pt>
                <c:pt idx="16">
                  <c:v>0</c:v>
                </c:pt>
                <c:pt idx="17">
                  <c:v>0</c:v>
                </c:pt>
                <c:pt idx="18">
                  <c:v>0</c:v>
                </c:pt>
                <c:pt idx="19">
                  <c:v>0</c:v>
                </c:pt>
                <c:pt idx="20">
                  <c:v>0</c:v>
                </c:pt>
                <c:pt idx="21">
                  <c:v>0</c:v>
                </c:pt>
                <c:pt idx="22">
                  <c:v>0</c:v>
                </c:pt>
                <c:pt idx="23">
                  <c:v>0</c:v>
                </c:pt>
                <c:pt idx="24">
                  <c:v>0</c:v>
                </c:pt>
              </c:numCache>
            </c:numRef>
          </c:val>
          <c:smooth val="0"/>
          <c:extLst>
            <c:ext xmlns:c16="http://schemas.microsoft.com/office/drawing/2014/chart" uri="{C3380CC4-5D6E-409C-BE32-E72D297353CC}">
              <c16:uniqueId val="{00000004-40DA-4C34-8560-19E518A07370}"/>
            </c:ext>
          </c:extLst>
        </c:ser>
        <c:dLbls>
          <c:showLegendKey val="0"/>
          <c:showVal val="0"/>
          <c:showCatName val="0"/>
          <c:showSerName val="0"/>
          <c:showPercent val="0"/>
          <c:showBubbleSize val="0"/>
        </c:dLbls>
        <c:marker val="1"/>
        <c:smooth val="0"/>
        <c:axId val="244370624"/>
        <c:axId val="1"/>
      </c:lineChart>
      <c:catAx>
        <c:axId val="244370624"/>
        <c:scaling>
          <c:orientation val="minMax"/>
        </c:scaling>
        <c:delete val="0"/>
        <c:axPos val="b"/>
        <c:minorGridlines/>
        <c:title>
          <c:tx>
            <c:rich>
              <a:bodyPr/>
              <a:lstStyle/>
              <a:p>
                <a:pPr>
                  <a:defRPr/>
                </a:pPr>
                <a:r>
                  <a:rPr lang="ja-JP" altLang="en-US"/>
                  <a:t>経過年数</a:t>
                </a:r>
              </a:p>
            </c:rich>
          </c:tx>
          <c:layout>
            <c:manualLayout>
              <c:xMode val="edge"/>
              <c:yMode val="edge"/>
              <c:x val="0.53100968678127836"/>
              <c:y val="0.71339563862928346"/>
            </c:manualLayout>
          </c:layout>
          <c:overlay val="0"/>
          <c:spPr>
            <a:noFill/>
            <a:ln w="25400">
              <a:noFill/>
            </a:ln>
          </c:spPr>
        </c:title>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0"/>
        <c:axPos val="l"/>
        <c:majorGridlines/>
        <c:numFmt formatCode="#,##0_ ;[Red]\-#,##0\ " sourceLinked="1"/>
        <c:majorTickMark val="none"/>
        <c:minorTickMark val="none"/>
        <c:tickLblPos val="nextTo"/>
        <c:crossAx val="244370624"/>
        <c:crosses val="autoZero"/>
        <c:crossBetween val="between"/>
      </c:valAx>
      <c:dTable>
        <c:showHorzBorder val="1"/>
        <c:showVertBorder val="1"/>
        <c:showOutline val="1"/>
        <c:showKeys val="1"/>
      </c:dTable>
    </c:plotArea>
    <c:legend>
      <c:legendPos val="r"/>
      <c:layout>
        <c:manualLayout>
          <c:xMode val="edge"/>
          <c:yMode val="edge"/>
          <c:wMode val="edge"/>
          <c:hMode val="edge"/>
          <c:x val="0.33070889760827138"/>
          <c:y val="5.2959501557632398E-2"/>
          <c:w val="0.63104647352151844"/>
          <c:h val="0.13395654982379537"/>
        </c:manualLayout>
      </c:layout>
      <c:overlay val="0"/>
    </c:legend>
    <c:plotVisOnly val="1"/>
    <c:dispBlanksAs val="gap"/>
    <c:showDLblsOverMax val="0"/>
  </c:chart>
  <c:printSettings>
    <c:headerFooter/>
    <c:pageMargins b="0.75000000000000089" l="0.70000000000000062" r="0.70000000000000062" t="0.75000000000000089" header="0.30000000000000032" footer="0.30000000000000032"/>
    <c:pageSetup paperSize="9" orientation="landscape" horizontalDpi="300" verticalDpi="300"/>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121920</xdr:colOff>
      <xdr:row>1</xdr:row>
      <xdr:rowOff>74295</xdr:rowOff>
    </xdr:from>
    <xdr:to>
      <xdr:col>10</xdr:col>
      <xdr:colOff>125747</xdr:colOff>
      <xdr:row>3</xdr:row>
      <xdr:rowOff>78140</xdr:rowOff>
    </xdr:to>
    <xdr:sp macro="" textlink="">
      <xdr:nvSpPr>
        <xdr:cNvPr id="4743" name="Text Box 647"/>
        <xdr:cNvSpPr txBox="1">
          <a:spLocks noChangeArrowheads="1"/>
        </xdr:cNvSpPr>
      </xdr:nvSpPr>
      <xdr:spPr bwMode="auto">
        <a:xfrm>
          <a:off x="285750" y="66675"/>
          <a:ext cx="2790825" cy="361950"/>
        </a:xfrm>
        <a:prstGeom prst="rect">
          <a:avLst/>
        </a:prstGeom>
        <a:solidFill>
          <a:srgbClr val="003366"/>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FFFFFF"/>
              </a:solidFill>
              <a:latin typeface="ＭＳ Ｐゴシック"/>
              <a:ea typeface="ＭＳ Ｐゴシック"/>
            </a:rPr>
            <a:t>ライフプラン表（ＬＰ表）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3</xdr:row>
      <xdr:rowOff>19050</xdr:rowOff>
    </xdr:from>
    <xdr:to>
      <xdr:col>13</xdr:col>
      <xdr:colOff>238125</xdr:colOff>
      <xdr:row>38</xdr:row>
      <xdr:rowOff>133350</xdr:rowOff>
    </xdr:to>
    <xdr:graphicFrame macro="">
      <xdr:nvGraphicFramePr>
        <xdr:cNvPr id="58272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125730</xdr:colOff>
      <xdr:row>0</xdr:row>
      <xdr:rowOff>68580</xdr:rowOff>
    </xdr:from>
    <xdr:to>
      <xdr:col>7</xdr:col>
      <xdr:colOff>428587</xdr:colOff>
      <xdr:row>2</xdr:row>
      <xdr:rowOff>89575</xdr:rowOff>
    </xdr:to>
    <xdr:sp macro="" textlink="">
      <xdr:nvSpPr>
        <xdr:cNvPr id="3" name="Text Box 2"/>
        <xdr:cNvSpPr txBox="1">
          <a:spLocks noChangeArrowheads="1"/>
        </xdr:cNvSpPr>
      </xdr:nvSpPr>
      <xdr:spPr bwMode="auto">
        <a:xfrm>
          <a:off x="106680" y="68580"/>
          <a:ext cx="4213860" cy="356275"/>
        </a:xfrm>
        <a:prstGeom prst="rect">
          <a:avLst/>
        </a:prstGeom>
        <a:solidFill>
          <a:srgbClr val="003366"/>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FFFFFF"/>
              </a:solidFill>
              <a:latin typeface="ＭＳ Ｐゴシック"/>
              <a:ea typeface="ＭＳ Ｐゴシック"/>
            </a:rPr>
            <a:t>ライフプラン表（ＬＰ表）シュミレーショングラフ</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0.00395</cdr:x>
      <cdr:y>0.52835</cdr:y>
    </cdr:from>
    <cdr:to>
      <cdr:x>0.0056</cdr:x>
      <cdr:y>0.53549</cdr:y>
    </cdr:to>
    <cdr:sp macro="" textlink="">
      <cdr:nvSpPr>
        <cdr:cNvPr id="2" name="テキスト ボックス 1"/>
        <cdr:cNvSpPr txBox="1"/>
      </cdr:nvSpPr>
      <cdr:spPr>
        <a:xfrm xmlns:a="http://schemas.openxmlformats.org/drawingml/2006/main" rot="11252683" flipV="1">
          <a:off x="303" y="3103276"/>
          <a:ext cx="713992" cy="13343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0.0673</cdr:x>
      <cdr:y>0.08835</cdr:y>
    </cdr:from>
    <cdr:to>
      <cdr:x>0.17534</cdr:x>
      <cdr:y>0.24059</cdr:y>
    </cdr:to>
    <cdr:sp macro="" textlink="">
      <cdr:nvSpPr>
        <cdr:cNvPr id="3" name="テキスト ボックス 2"/>
        <cdr:cNvSpPr txBox="1"/>
      </cdr:nvSpPr>
      <cdr:spPr>
        <a:xfrm xmlns:a="http://schemas.openxmlformats.org/drawingml/2006/main">
          <a:off x="714377" y="495300"/>
          <a:ext cx="914400" cy="9144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0.0579</cdr:x>
      <cdr:y>0.09663</cdr:y>
    </cdr:from>
    <cdr:to>
      <cdr:x>0.14271</cdr:x>
      <cdr:y>0.14443</cdr:y>
    </cdr:to>
    <cdr:sp macro="" textlink="">
      <cdr:nvSpPr>
        <cdr:cNvPr id="4" name="テキスト ボックス 3"/>
        <cdr:cNvSpPr txBox="1"/>
      </cdr:nvSpPr>
      <cdr:spPr>
        <a:xfrm xmlns:a="http://schemas.openxmlformats.org/drawingml/2006/main">
          <a:off x="609602" y="542925"/>
          <a:ext cx="762000" cy="2667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800"/>
            <a:t>（単位：万円）</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89"/>
  <sheetViews>
    <sheetView tabSelected="1" zoomScale="120" zoomScaleNormal="120" workbookViewId="0">
      <selection activeCell="B1" sqref="B1"/>
    </sheetView>
  </sheetViews>
  <sheetFormatPr defaultRowHeight="13.5" x14ac:dyDescent="0.15"/>
  <cols>
    <col min="1" max="1" width="1" style="57" customWidth="1"/>
    <col min="2" max="3" width="4.125" style="54" customWidth="1"/>
    <col min="4" max="4" width="12.25" style="54" customWidth="1"/>
    <col min="5" max="5" width="18.125" style="54" customWidth="1"/>
    <col min="6" max="6" width="8.125" style="54" customWidth="1"/>
    <col min="7" max="10" width="6.375" style="54" customWidth="1"/>
    <col min="11" max="11" width="7.25" style="54" customWidth="1"/>
    <col min="12" max="17" width="8.75" style="54" customWidth="1"/>
    <col min="18" max="25" width="8.5" style="54" customWidth="1"/>
    <col min="26" max="28" width="8.5" style="213" customWidth="1"/>
    <col min="29" max="30" width="8.5" style="54" customWidth="1"/>
    <col min="31" max="31" width="2.625" style="54" customWidth="1"/>
    <col min="32" max="32" width="13.25" style="54" customWidth="1"/>
    <col min="33" max="33" width="13.75" style="54" hidden="1" customWidth="1"/>
    <col min="34" max="34" width="6" style="54" hidden="1" customWidth="1"/>
    <col min="35" max="35" width="6.75" style="54" hidden="1" customWidth="1"/>
    <col min="36" max="36" width="9" style="54" hidden="1" customWidth="1"/>
    <col min="37" max="16384" width="9" style="54"/>
  </cols>
  <sheetData>
    <row r="1" spans="1:64" s="51" customFormat="1" ht="21.75" customHeight="1" thickBot="1" x14ac:dyDescent="0.2">
      <c r="A1" s="165" t="s">
        <v>259</v>
      </c>
      <c r="N1" s="189"/>
      <c r="O1" s="235"/>
      <c r="P1" s="235"/>
      <c r="Q1" s="235"/>
      <c r="R1" s="189"/>
      <c r="S1" s="189"/>
      <c r="T1" s="189"/>
      <c r="U1" s="189"/>
      <c r="V1" s="189"/>
      <c r="W1" s="189"/>
      <c r="Z1" s="190"/>
      <c r="AA1" s="190"/>
      <c r="AB1" s="190"/>
      <c r="AE1" s="59"/>
    </row>
    <row r="2" spans="1:64" ht="17.25" customHeight="1" thickBot="1" x14ac:dyDescent="0.2">
      <c r="A2" s="191" t="s">
        <v>217</v>
      </c>
      <c r="B2" s="186"/>
      <c r="C2" s="186"/>
      <c r="D2" s="186"/>
      <c r="E2" s="186"/>
      <c r="F2" s="186"/>
      <c r="G2" s="186"/>
      <c r="H2" s="186"/>
      <c r="I2" s="186"/>
      <c r="J2" s="186"/>
      <c r="K2" s="186"/>
      <c r="L2" s="371"/>
      <c r="M2" s="62"/>
      <c r="N2" s="63"/>
      <c r="O2" s="63"/>
      <c r="P2" s="63"/>
      <c r="Q2" s="63"/>
      <c r="R2" s="64"/>
      <c r="S2" s="65"/>
      <c r="T2" s="373" t="s">
        <v>218</v>
      </c>
      <c r="U2" s="373"/>
      <c r="V2" s="373"/>
      <c r="W2" s="373"/>
      <c r="X2" s="186"/>
      <c r="Y2" s="186"/>
      <c r="Z2" s="192"/>
      <c r="AA2" s="192"/>
      <c r="AB2" s="192"/>
      <c r="AC2" s="186"/>
      <c r="AD2" s="186"/>
      <c r="AE2" s="67"/>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row>
    <row r="3" spans="1:64" ht="17.25" customHeight="1" thickBot="1" x14ac:dyDescent="0.2">
      <c r="A3" s="193" t="s">
        <v>219</v>
      </c>
      <c r="B3" s="58"/>
      <c r="C3" s="58"/>
      <c r="D3" s="58"/>
      <c r="E3" s="58"/>
      <c r="F3" s="58"/>
      <c r="G3" s="58"/>
      <c r="H3" s="58"/>
      <c r="I3" s="58"/>
      <c r="J3" s="58"/>
      <c r="K3" s="58"/>
      <c r="L3" s="372"/>
      <c r="M3" s="167" t="s">
        <v>220</v>
      </c>
      <c r="N3" s="167"/>
      <c r="O3" s="63"/>
      <c r="P3" s="63"/>
      <c r="Q3" s="63"/>
      <c r="R3" s="64"/>
      <c r="S3" s="65"/>
      <c r="T3" s="365"/>
      <c r="U3" s="366"/>
      <c r="V3" s="366"/>
      <c r="W3" s="366"/>
      <c r="X3" s="366"/>
      <c r="Y3" s="366"/>
      <c r="Z3" s="366"/>
      <c r="AA3" s="366"/>
      <c r="AB3" s="366"/>
      <c r="AC3" s="366"/>
      <c r="AD3" s="367"/>
      <c r="AE3" s="187"/>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row>
    <row r="4" spans="1:64" ht="14.25" customHeight="1" thickBot="1" x14ac:dyDescent="0.2">
      <c r="A4" s="193" t="s">
        <v>221</v>
      </c>
      <c r="B4" s="189"/>
      <c r="C4" s="189"/>
      <c r="D4" s="189"/>
      <c r="E4" s="189"/>
      <c r="F4" s="189"/>
      <c r="G4" s="189"/>
      <c r="H4" s="189"/>
      <c r="I4" s="189"/>
      <c r="J4" s="189"/>
      <c r="K4" s="189"/>
      <c r="L4" s="61"/>
      <c r="M4" s="61"/>
      <c r="N4" s="61"/>
      <c r="O4" s="61"/>
      <c r="P4" s="61"/>
      <c r="Q4" s="61"/>
      <c r="R4" s="66"/>
      <c r="S4" s="65"/>
      <c r="T4" s="368"/>
      <c r="U4" s="369"/>
      <c r="V4" s="369"/>
      <c r="W4" s="369"/>
      <c r="X4" s="369"/>
      <c r="Y4" s="369"/>
      <c r="Z4" s="369"/>
      <c r="AA4" s="369"/>
      <c r="AB4" s="369"/>
      <c r="AC4" s="369"/>
      <c r="AD4" s="370"/>
      <c r="AE4" s="187"/>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row>
    <row r="5" spans="1:64" ht="13.5" customHeight="1" x14ac:dyDescent="0.15">
      <c r="A5" s="193" t="s">
        <v>222</v>
      </c>
      <c r="B5" s="214"/>
      <c r="C5" s="74"/>
      <c r="D5" s="73"/>
      <c r="E5" s="74"/>
      <c r="F5" s="391"/>
      <c r="G5" s="391"/>
      <c r="H5" s="391"/>
      <c r="I5" s="391"/>
      <c r="J5" s="377" t="s">
        <v>223</v>
      </c>
      <c r="K5" s="377"/>
      <c r="L5" s="377"/>
      <c r="M5" s="377"/>
      <c r="N5" s="223"/>
      <c r="O5" s="74"/>
      <c r="P5" s="74"/>
      <c r="Q5" s="74"/>
      <c r="R5" s="77"/>
      <c r="S5" s="65"/>
      <c r="T5" s="368"/>
      <c r="U5" s="369"/>
      <c r="V5" s="369"/>
      <c r="W5" s="369"/>
      <c r="X5" s="369"/>
      <c r="Y5" s="369"/>
      <c r="Z5" s="369"/>
      <c r="AA5" s="369"/>
      <c r="AB5" s="369"/>
      <c r="AC5" s="369"/>
      <c r="AD5" s="370"/>
      <c r="AE5" s="187"/>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row>
    <row r="6" spans="1:64" ht="13.5" customHeight="1" thickBot="1" x14ac:dyDescent="0.2">
      <c r="A6" s="193" t="s">
        <v>224</v>
      </c>
      <c r="B6" s="75"/>
      <c r="C6" s="74"/>
      <c r="D6" s="76"/>
      <c r="E6" s="76"/>
      <c r="F6" s="392"/>
      <c r="G6" s="392"/>
      <c r="H6" s="392"/>
      <c r="I6" s="392"/>
      <c r="J6" s="378"/>
      <c r="K6" s="378"/>
      <c r="L6" s="378"/>
      <c r="M6" s="378"/>
      <c r="N6" s="223"/>
      <c r="O6" s="76"/>
      <c r="P6" s="76"/>
      <c r="Q6" s="76"/>
      <c r="R6" s="194"/>
      <c r="S6" s="65"/>
      <c r="T6" s="368"/>
      <c r="U6" s="369"/>
      <c r="V6" s="369"/>
      <c r="W6" s="369"/>
      <c r="X6" s="369"/>
      <c r="Y6" s="369"/>
      <c r="Z6" s="369"/>
      <c r="AA6" s="369"/>
      <c r="AB6" s="369"/>
      <c r="AC6" s="369"/>
      <c r="AD6" s="370"/>
      <c r="AE6" s="187"/>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row>
    <row r="7" spans="1:64" ht="13.5" customHeight="1" x14ac:dyDescent="0.15">
      <c r="A7" s="224" t="s">
        <v>225</v>
      </c>
      <c r="B7" s="74"/>
      <c r="C7" s="74"/>
      <c r="D7" s="379"/>
      <c r="E7" s="380"/>
      <c r="F7" s="380"/>
      <c r="G7" s="380"/>
      <c r="H7" s="380"/>
      <c r="I7" s="380"/>
      <c r="J7" s="380"/>
      <c r="K7" s="385"/>
      <c r="L7" s="380"/>
      <c r="M7" s="380"/>
      <c r="N7" s="380"/>
      <c r="O7" s="380"/>
      <c r="P7" s="380"/>
      <c r="Q7" s="386"/>
      <c r="R7" s="78"/>
      <c r="S7" s="58"/>
      <c r="T7" s="368"/>
      <c r="U7" s="369"/>
      <c r="V7" s="369"/>
      <c r="W7" s="369"/>
      <c r="X7" s="369"/>
      <c r="Y7" s="369"/>
      <c r="Z7" s="369"/>
      <c r="AA7" s="369"/>
      <c r="AB7" s="369"/>
      <c r="AC7" s="369"/>
      <c r="AD7" s="370"/>
      <c r="AE7" s="187"/>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row>
    <row r="8" spans="1:64" ht="14.25" customHeight="1" thickBot="1" x14ac:dyDescent="0.2">
      <c r="A8" s="224" t="s">
        <v>226</v>
      </c>
      <c r="B8" s="74"/>
      <c r="C8" s="74"/>
      <c r="D8" s="381"/>
      <c r="E8" s="382"/>
      <c r="F8" s="382"/>
      <c r="G8" s="382"/>
      <c r="H8" s="382"/>
      <c r="I8" s="382"/>
      <c r="J8" s="382"/>
      <c r="K8" s="387"/>
      <c r="L8" s="382"/>
      <c r="M8" s="382"/>
      <c r="N8" s="382"/>
      <c r="O8" s="382"/>
      <c r="P8" s="382"/>
      <c r="Q8" s="388"/>
      <c r="R8" s="78"/>
      <c r="S8" s="58"/>
      <c r="T8" s="374"/>
      <c r="U8" s="375"/>
      <c r="V8" s="375"/>
      <c r="W8" s="375"/>
      <c r="X8" s="375"/>
      <c r="Y8" s="375"/>
      <c r="Z8" s="375"/>
      <c r="AA8" s="375"/>
      <c r="AB8" s="375"/>
      <c r="AC8" s="375"/>
      <c r="AD8" s="376"/>
      <c r="AE8" s="187"/>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row>
    <row r="9" spans="1:64" ht="14.25" thickBot="1" x14ac:dyDescent="0.2">
      <c r="A9" s="224" t="s">
        <v>227</v>
      </c>
      <c r="B9" s="74"/>
      <c r="C9" s="74"/>
      <c r="D9" s="381"/>
      <c r="E9" s="382"/>
      <c r="F9" s="382"/>
      <c r="G9" s="382"/>
      <c r="H9" s="382"/>
      <c r="I9" s="382"/>
      <c r="J9" s="382"/>
      <c r="K9" s="387"/>
      <c r="L9" s="382"/>
      <c r="M9" s="382"/>
      <c r="N9" s="382"/>
      <c r="O9" s="382"/>
      <c r="P9" s="382"/>
      <c r="Q9" s="388"/>
      <c r="R9" s="78"/>
      <c r="S9" s="58"/>
      <c r="T9" s="58"/>
      <c r="U9" s="58"/>
      <c r="V9" s="58"/>
      <c r="W9" s="58"/>
      <c r="X9" s="58"/>
      <c r="Y9" s="58"/>
      <c r="Z9" s="195"/>
      <c r="AA9" s="195"/>
      <c r="AB9" s="195"/>
      <c r="AC9" s="58"/>
      <c r="AD9" s="58"/>
      <c r="AE9" s="187"/>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row>
    <row r="10" spans="1:64" ht="13.5" customHeight="1" thickBot="1" x14ac:dyDescent="0.2">
      <c r="A10" s="224" t="s">
        <v>228</v>
      </c>
      <c r="B10" s="74"/>
      <c r="C10" s="74"/>
      <c r="D10" s="383"/>
      <c r="E10" s="384"/>
      <c r="F10" s="384"/>
      <c r="G10" s="384"/>
      <c r="H10" s="384"/>
      <c r="I10" s="384"/>
      <c r="J10" s="384"/>
      <c r="K10" s="389"/>
      <c r="L10" s="384"/>
      <c r="M10" s="384"/>
      <c r="N10" s="384"/>
      <c r="O10" s="384"/>
      <c r="P10" s="384"/>
      <c r="Q10" s="390"/>
      <c r="R10" s="78"/>
      <c r="S10" s="58"/>
      <c r="T10" s="362" t="s">
        <v>229</v>
      </c>
      <c r="U10" s="363"/>
      <c r="V10" s="363"/>
      <c r="W10" s="363"/>
      <c r="X10" s="364"/>
      <c r="Y10" s="167"/>
      <c r="Z10" s="196"/>
      <c r="AA10" s="196"/>
      <c r="AB10" s="196"/>
      <c r="AC10" s="167"/>
      <c r="AD10" s="167"/>
      <c r="AE10" s="187"/>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row>
    <row r="11" spans="1:64" x14ac:dyDescent="0.15">
      <c r="A11" s="224" t="s">
        <v>222</v>
      </c>
      <c r="B11" s="74"/>
      <c r="C11" s="74"/>
      <c r="D11" s="393"/>
      <c r="E11" s="394"/>
      <c r="F11" s="394"/>
      <c r="G11" s="394"/>
      <c r="H11" s="394"/>
      <c r="I11" s="394"/>
      <c r="J11" s="218"/>
      <c r="K11" s="399"/>
      <c r="L11" s="394"/>
      <c r="M11" s="394"/>
      <c r="N11" s="394"/>
      <c r="O11" s="394"/>
      <c r="P11" s="394"/>
      <c r="Q11" s="400"/>
      <c r="R11" s="78"/>
      <c r="S11" s="58"/>
      <c r="T11" s="178" t="s">
        <v>202</v>
      </c>
      <c r="U11" s="179"/>
      <c r="V11" s="179"/>
      <c r="W11" s="179"/>
      <c r="X11" s="179"/>
      <c r="Y11" s="179"/>
      <c r="Z11" s="180"/>
      <c r="AA11" s="180"/>
      <c r="AB11" s="180"/>
      <c r="AC11" s="181"/>
      <c r="AD11" s="182"/>
      <c r="AE11" s="187"/>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row>
    <row r="12" spans="1:64" x14ac:dyDescent="0.15">
      <c r="A12" s="224" t="s">
        <v>224</v>
      </c>
      <c r="B12" s="74"/>
      <c r="C12" s="74"/>
      <c r="D12" s="395"/>
      <c r="E12" s="396"/>
      <c r="F12" s="396"/>
      <c r="G12" s="396"/>
      <c r="H12" s="396"/>
      <c r="I12" s="396"/>
      <c r="J12" s="236"/>
      <c r="K12" s="401"/>
      <c r="L12" s="396"/>
      <c r="M12" s="396"/>
      <c r="N12" s="396"/>
      <c r="O12" s="396"/>
      <c r="P12" s="396"/>
      <c r="Q12" s="402"/>
      <c r="R12" s="78"/>
      <c r="S12" s="58"/>
      <c r="T12" s="183" t="s">
        <v>203</v>
      </c>
      <c r="U12" s="169"/>
      <c r="V12" s="169"/>
      <c r="W12" s="169"/>
      <c r="X12" s="169"/>
      <c r="Y12" s="169"/>
      <c r="Z12" s="170"/>
      <c r="AA12" s="170"/>
      <c r="AB12" s="170"/>
      <c r="AC12" s="171"/>
      <c r="AD12" s="184"/>
      <c r="AE12" s="187"/>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row>
    <row r="13" spans="1:64" x14ac:dyDescent="0.15">
      <c r="A13" s="224" t="s">
        <v>225</v>
      </c>
      <c r="B13" s="74"/>
      <c r="C13" s="74"/>
      <c r="D13" s="395"/>
      <c r="E13" s="396"/>
      <c r="F13" s="396"/>
      <c r="G13" s="396"/>
      <c r="H13" s="396"/>
      <c r="I13" s="396"/>
      <c r="J13" s="236"/>
      <c r="K13" s="401"/>
      <c r="L13" s="396"/>
      <c r="M13" s="396"/>
      <c r="N13" s="396"/>
      <c r="O13" s="396"/>
      <c r="P13" s="396"/>
      <c r="Q13" s="402"/>
      <c r="R13" s="78"/>
      <c r="S13" s="65"/>
      <c r="T13" s="183" t="s">
        <v>204</v>
      </c>
      <c r="U13" s="197"/>
      <c r="V13" s="197"/>
      <c r="W13" s="197"/>
      <c r="X13" s="197"/>
      <c r="Y13" s="197"/>
      <c r="Z13" s="198"/>
      <c r="AA13" s="198"/>
      <c r="AB13" s="198"/>
      <c r="AC13" s="171"/>
      <c r="AD13" s="184"/>
      <c r="AE13" s="187"/>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row>
    <row r="14" spans="1:64" ht="13.5" customHeight="1" thickBot="1" x14ac:dyDescent="0.2">
      <c r="A14" s="225" t="s">
        <v>230</v>
      </c>
      <c r="B14" s="74"/>
      <c r="C14" s="74"/>
      <c r="D14" s="397"/>
      <c r="E14" s="398"/>
      <c r="F14" s="398"/>
      <c r="G14" s="398"/>
      <c r="H14" s="398"/>
      <c r="I14" s="398"/>
      <c r="J14" s="237"/>
      <c r="K14" s="403"/>
      <c r="L14" s="398"/>
      <c r="M14" s="398"/>
      <c r="N14" s="398"/>
      <c r="O14" s="398"/>
      <c r="P14" s="398"/>
      <c r="Q14" s="404"/>
      <c r="R14" s="78"/>
      <c r="S14" s="65"/>
      <c r="T14" s="185" t="s">
        <v>205</v>
      </c>
      <c r="U14" s="197"/>
      <c r="V14" s="197"/>
      <c r="W14" s="197"/>
      <c r="X14" s="197"/>
      <c r="Y14" s="197"/>
      <c r="Z14" s="198"/>
      <c r="AA14" s="198"/>
      <c r="AB14" s="198"/>
      <c r="AC14" s="197"/>
      <c r="AD14" s="199"/>
      <c r="AE14" s="187"/>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row>
    <row r="15" spans="1:64" ht="13.5" customHeight="1" thickBot="1" x14ac:dyDescent="0.2">
      <c r="A15" s="193" t="s">
        <v>226</v>
      </c>
      <c r="B15" s="75"/>
      <c r="C15" s="74"/>
      <c r="D15" s="74"/>
      <c r="E15" s="74"/>
      <c r="F15" s="74"/>
      <c r="G15" s="74"/>
      <c r="H15" s="74"/>
      <c r="I15" s="74"/>
      <c r="J15" s="74"/>
      <c r="K15" s="74"/>
      <c r="L15" s="74"/>
      <c r="M15" s="74"/>
      <c r="N15" s="74"/>
      <c r="O15" s="74"/>
      <c r="P15" s="74"/>
      <c r="Q15" s="74"/>
      <c r="R15" s="78"/>
      <c r="S15" s="65"/>
      <c r="T15" s="185" t="s">
        <v>206</v>
      </c>
      <c r="U15" s="171"/>
      <c r="V15" s="171"/>
      <c r="W15" s="171"/>
      <c r="X15" s="171"/>
      <c r="Y15" s="171"/>
      <c r="Z15" s="171"/>
      <c r="AA15" s="171"/>
      <c r="AB15" s="171"/>
      <c r="AC15" s="171"/>
      <c r="AD15" s="199"/>
      <c r="AE15" s="187"/>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row>
    <row r="16" spans="1:64" ht="13.5" customHeight="1" thickBot="1" x14ac:dyDescent="0.2">
      <c r="A16" s="193" t="s">
        <v>227</v>
      </c>
      <c r="B16" s="215"/>
      <c r="C16" s="79"/>
      <c r="D16" s="79"/>
      <c r="E16" s="433" t="s">
        <v>264</v>
      </c>
      <c r="F16" s="431">
        <v>2021</v>
      </c>
      <c r="G16" s="435" t="s">
        <v>231</v>
      </c>
      <c r="H16" s="435"/>
      <c r="I16" s="435"/>
      <c r="J16" s="159" t="s">
        <v>170</v>
      </c>
      <c r="K16" s="200" t="s">
        <v>226</v>
      </c>
      <c r="L16" s="201" t="s">
        <v>169</v>
      </c>
      <c r="M16" s="176" t="s">
        <v>232</v>
      </c>
      <c r="N16" s="176" t="s">
        <v>232</v>
      </c>
      <c r="O16" s="202" t="s">
        <v>242</v>
      </c>
      <c r="P16" s="219"/>
      <c r="Q16" s="79"/>
      <c r="R16" s="226"/>
      <c r="T16" s="183" t="s">
        <v>280</v>
      </c>
      <c r="U16" s="197"/>
      <c r="V16" s="197"/>
      <c r="W16" s="197"/>
      <c r="X16" s="197"/>
      <c r="Y16" s="197"/>
      <c r="Z16" s="198"/>
      <c r="AA16" s="198"/>
      <c r="AB16" s="198"/>
      <c r="AC16" s="197"/>
      <c r="AD16" s="199"/>
      <c r="AE16" s="187"/>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row>
    <row r="17" spans="1:64" ht="23.25" customHeight="1" thickBot="1" x14ac:dyDescent="0.2">
      <c r="A17" s="166" t="s">
        <v>228</v>
      </c>
      <c r="B17" s="58"/>
      <c r="C17" s="58"/>
      <c r="D17" s="58"/>
      <c r="E17" s="434"/>
      <c r="F17" s="432"/>
      <c r="G17" s="436"/>
      <c r="H17" s="436"/>
      <c r="I17" s="436"/>
      <c r="J17" s="221" t="s">
        <v>233</v>
      </c>
      <c r="K17" s="234">
        <v>47</v>
      </c>
      <c r="L17" s="234">
        <v>45</v>
      </c>
      <c r="M17" s="234">
        <v>12</v>
      </c>
      <c r="N17" s="234">
        <v>0</v>
      </c>
      <c r="O17" s="222">
        <v>70</v>
      </c>
      <c r="P17" s="227"/>
      <c r="Q17" s="227"/>
      <c r="R17" s="227"/>
      <c r="T17" s="461" t="s">
        <v>279</v>
      </c>
      <c r="U17" s="462"/>
      <c r="V17" s="462"/>
      <c r="W17" s="462"/>
      <c r="X17" s="462"/>
      <c r="Y17" s="462"/>
      <c r="Z17" s="462"/>
      <c r="AA17" s="462"/>
      <c r="AB17" s="462"/>
      <c r="AC17" s="462"/>
      <c r="AD17" s="463"/>
      <c r="AE17" s="187"/>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row>
    <row r="18" spans="1:64" ht="13.5" customHeight="1" x14ac:dyDescent="0.15">
      <c r="A18" s="166" t="s">
        <v>232</v>
      </c>
      <c r="B18" s="58"/>
      <c r="C18" s="58"/>
      <c r="D18" s="58"/>
      <c r="E18" s="220" t="s">
        <v>234</v>
      </c>
      <c r="F18" s="437" t="s">
        <v>281</v>
      </c>
      <c r="G18" s="441" t="s">
        <v>267</v>
      </c>
      <c r="H18" s="442"/>
      <c r="I18" s="442"/>
      <c r="J18" s="443"/>
      <c r="K18" s="439" t="s">
        <v>265</v>
      </c>
      <c r="L18" s="228" t="s">
        <v>235</v>
      </c>
      <c r="M18" s="228"/>
      <c r="N18" s="229"/>
      <c r="O18" s="230"/>
      <c r="P18" s="58"/>
      <c r="Q18" s="58"/>
      <c r="R18" s="65"/>
      <c r="S18" s="68"/>
      <c r="T18" s="172"/>
      <c r="U18" s="203"/>
      <c r="V18" s="203"/>
      <c r="W18" s="203"/>
      <c r="X18" s="203"/>
      <c r="Y18" s="203"/>
      <c r="Z18" s="204"/>
      <c r="AA18" s="204"/>
      <c r="AB18" s="204"/>
      <c r="AC18" s="203"/>
      <c r="AD18" s="203"/>
      <c r="AE18" s="187"/>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row>
    <row r="19" spans="1:64" ht="14.25" thickBot="1" x14ac:dyDescent="0.2">
      <c r="A19" s="193" t="s">
        <v>236</v>
      </c>
      <c r="B19" s="58"/>
      <c r="C19" s="58"/>
      <c r="D19" s="58"/>
      <c r="E19" s="219" t="s">
        <v>237</v>
      </c>
      <c r="F19" s="438"/>
      <c r="G19" s="444"/>
      <c r="H19" s="445"/>
      <c r="I19" s="445"/>
      <c r="J19" s="446"/>
      <c r="K19" s="440"/>
      <c r="L19" s="231" t="s">
        <v>238</v>
      </c>
      <c r="M19" s="231"/>
      <c r="N19" s="232"/>
      <c r="O19" s="233"/>
      <c r="P19" s="58"/>
      <c r="Q19" s="58"/>
      <c r="R19" s="65"/>
      <c r="S19" s="68"/>
      <c r="T19" s="58"/>
      <c r="U19" s="203"/>
      <c r="V19" s="203"/>
      <c r="W19" s="203"/>
      <c r="X19" s="203"/>
      <c r="Y19" s="203"/>
      <c r="Z19" s="204"/>
      <c r="AA19" s="204"/>
      <c r="AB19" s="204"/>
      <c r="AC19" s="203"/>
      <c r="AD19" s="203"/>
      <c r="AE19" s="187"/>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row>
    <row r="20" spans="1:64" ht="14.25" thickBot="1" x14ac:dyDescent="0.2">
      <c r="A20" s="193" t="s">
        <v>239</v>
      </c>
      <c r="B20" s="56" t="s">
        <v>240</v>
      </c>
      <c r="C20" s="56"/>
      <c r="D20" s="55"/>
      <c r="E20" s="58"/>
      <c r="F20" s="58"/>
      <c r="G20" s="58"/>
      <c r="H20" s="58"/>
      <c r="I20" s="58"/>
      <c r="J20" s="58"/>
      <c r="K20" s="58"/>
      <c r="L20" s="216"/>
      <c r="M20" s="58"/>
      <c r="N20" s="58"/>
      <c r="O20" s="58"/>
      <c r="P20" s="58"/>
      <c r="Q20" s="58"/>
      <c r="R20" s="65"/>
      <c r="S20" s="68"/>
      <c r="T20" s="68"/>
      <c r="U20" s="69"/>
      <c r="V20" s="69"/>
      <c r="W20" s="69"/>
      <c r="X20" s="69"/>
      <c r="Y20" s="69"/>
      <c r="Z20" s="70"/>
      <c r="AA20" s="70"/>
      <c r="AB20" s="195"/>
      <c r="AC20" s="58"/>
      <c r="AD20" s="71" t="s">
        <v>241</v>
      </c>
      <c r="AE20" s="187"/>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row>
    <row r="21" spans="1:64" ht="18.75" customHeight="1" x14ac:dyDescent="0.15">
      <c r="A21" s="193" t="s">
        <v>242</v>
      </c>
      <c r="B21" s="464" t="s">
        <v>16</v>
      </c>
      <c r="C21" s="465"/>
      <c r="D21" s="422" t="s">
        <v>171</v>
      </c>
      <c r="E21" s="423"/>
      <c r="F21" s="424"/>
      <c r="G21" s="422" t="s">
        <v>243</v>
      </c>
      <c r="H21" s="423"/>
      <c r="I21" s="423"/>
      <c r="J21" s="423"/>
      <c r="K21" s="424"/>
      <c r="L21" s="413" t="s">
        <v>17</v>
      </c>
      <c r="M21" s="414"/>
      <c r="N21" s="414"/>
      <c r="O21" s="414"/>
      <c r="P21" s="414"/>
      <c r="Q21" s="414"/>
      <c r="R21" s="414"/>
      <c r="S21" s="414"/>
      <c r="T21" s="414"/>
      <c r="U21" s="414"/>
      <c r="V21" s="414"/>
      <c r="W21" s="414"/>
      <c r="X21" s="414"/>
      <c r="Y21" s="414"/>
      <c r="Z21" s="415"/>
      <c r="AA21" s="405" t="s">
        <v>274</v>
      </c>
      <c r="AB21" s="205" t="s">
        <v>244</v>
      </c>
      <c r="AC21" s="206" t="s">
        <v>245</v>
      </c>
      <c r="AD21" s="207" t="s">
        <v>246</v>
      </c>
      <c r="AE21" s="187"/>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row>
    <row r="22" spans="1:64" ht="18.75" customHeight="1" x14ac:dyDescent="0.15">
      <c r="A22" s="193" t="s">
        <v>247</v>
      </c>
      <c r="B22" s="466"/>
      <c r="C22" s="467"/>
      <c r="D22" s="425"/>
      <c r="E22" s="426"/>
      <c r="F22" s="427"/>
      <c r="G22" s="425"/>
      <c r="H22" s="426"/>
      <c r="I22" s="426"/>
      <c r="J22" s="426"/>
      <c r="K22" s="427"/>
      <c r="L22" s="416"/>
      <c r="M22" s="417"/>
      <c r="N22" s="417"/>
      <c r="O22" s="417"/>
      <c r="P22" s="417"/>
      <c r="Q22" s="417"/>
      <c r="R22" s="417"/>
      <c r="S22" s="417"/>
      <c r="T22" s="417"/>
      <c r="U22" s="417"/>
      <c r="V22" s="417"/>
      <c r="W22" s="417"/>
      <c r="X22" s="417"/>
      <c r="Y22" s="417"/>
      <c r="Z22" s="418"/>
      <c r="AA22" s="406"/>
      <c r="AB22" s="208" t="s">
        <v>248</v>
      </c>
      <c r="AC22" s="291">
        <v>0.05</v>
      </c>
      <c r="AD22" s="292">
        <v>1.4999999999999999E-2</v>
      </c>
      <c r="AE22" s="187"/>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row>
    <row r="23" spans="1:64" ht="18.75" customHeight="1" thickBot="1" x14ac:dyDescent="0.2">
      <c r="A23" s="193" t="s">
        <v>249</v>
      </c>
      <c r="B23" s="466"/>
      <c r="C23" s="467"/>
      <c r="D23" s="425"/>
      <c r="E23" s="426"/>
      <c r="F23" s="427"/>
      <c r="G23" s="425"/>
      <c r="H23" s="426"/>
      <c r="I23" s="426"/>
      <c r="J23" s="426"/>
      <c r="K23" s="427"/>
      <c r="L23" s="419"/>
      <c r="M23" s="420"/>
      <c r="N23" s="420"/>
      <c r="O23" s="420"/>
      <c r="P23" s="420"/>
      <c r="Q23" s="420"/>
      <c r="R23" s="420"/>
      <c r="S23" s="420"/>
      <c r="T23" s="420"/>
      <c r="U23" s="420"/>
      <c r="V23" s="420"/>
      <c r="W23" s="420"/>
      <c r="X23" s="420"/>
      <c r="Y23" s="420"/>
      <c r="Z23" s="421"/>
      <c r="AA23" s="406"/>
      <c r="AB23" s="208" t="s">
        <v>250</v>
      </c>
      <c r="AC23" s="293">
        <v>180</v>
      </c>
      <c r="AD23" s="294">
        <v>24</v>
      </c>
      <c r="AE23" s="187"/>
      <c r="AF23" s="51"/>
      <c r="AG23" s="358" t="s">
        <v>208</v>
      </c>
      <c r="AH23" s="358">
        <f>IF(AC23=0,1,AC23)</f>
        <v>180</v>
      </c>
      <c r="AI23" s="358"/>
      <c r="AJ23" s="358"/>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row>
    <row r="24" spans="1:64" ht="38.25" customHeight="1" thickBot="1" x14ac:dyDescent="0.2">
      <c r="A24" s="193" t="s">
        <v>251</v>
      </c>
      <c r="B24" s="468"/>
      <c r="C24" s="469"/>
      <c r="D24" s="428"/>
      <c r="E24" s="429"/>
      <c r="F24" s="430"/>
      <c r="G24" s="428"/>
      <c r="H24" s="429"/>
      <c r="I24" s="429"/>
      <c r="J24" s="429"/>
      <c r="K24" s="430"/>
      <c r="L24" s="410" t="s">
        <v>270</v>
      </c>
      <c r="M24" s="411"/>
      <c r="N24" s="411"/>
      <c r="O24" s="411"/>
      <c r="P24" s="412"/>
      <c r="Q24" s="410" t="s">
        <v>271</v>
      </c>
      <c r="R24" s="411"/>
      <c r="S24" s="411"/>
      <c r="T24" s="411"/>
      <c r="U24" s="411"/>
      <c r="V24" s="411"/>
      <c r="W24" s="411"/>
      <c r="X24" s="411"/>
      <c r="Y24" s="412"/>
      <c r="Z24" s="408" t="s">
        <v>195</v>
      </c>
      <c r="AA24" s="407"/>
      <c r="AB24" s="209" t="s">
        <v>252</v>
      </c>
      <c r="AC24" s="210" t="s">
        <v>230</v>
      </c>
      <c r="AD24" s="238">
        <v>2028</v>
      </c>
      <c r="AE24" s="187"/>
      <c r="AF24" s="174"/>
      <c r="AG24" s="358" t="s">
        <v>209</v>
      </c>
      <c r="AH24" s="358">
        <f>IF(AD23=0,1,AD23)</f>
        <v>24</v>
      </c>
      <c r="AI24" s="358"/>
      <c r="AJ24" s="358"/>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row>
    <row r="25" spans="1:64" ht="33" customHeight="1" thickTop="1" thickBot="1" x14ac:dyDescent="0.2">
      <c r="A25" s="60" t="s">
        <v>247</v>
      </c>
      <c r="B25" s="451" t="s">
        <v>263</v>
      </c>
      <c r="C25" s="452"/>
      <c r="D25" s="459" t="s">
        <v>253</v>
      </c>
      <c r="E25" s="459"/>
      <c r="F25" s="460"/>
      <c r="G25" s="239" t="str">
        <f>$K$16</f>
        <v>本人</v>
      </c>
      <c r="H25" s="240" t="str">
        <f>$L$16</f>
        <v>妻</v>
      </c>
      <c r="I25" s="241" t="str">
        <f>$M$16</f>
        <v>子</v>
      </c>
      <c r="J25" s="242" t="str">
        <f>$N$16</f>
        <v>子</v>
      </c>
      <c r="K25" s="243" t="str">
        <f>$O$16</f>
        <v>祖父母</v>
      </c>
      <c r="L25" s="295" t="str">
        <f>G25</f>
        <v>本人</v>
      </c>
      <c r="M25" s="244" t="str">
        <f>H25</f>
        <v>妻</v>
      </c>
      <c r="N25" s="245" t="s">
        <v>266</v>
      </c>
      <c r="O25" s="241" t="s">
        <v>268</v>
      </c>
      <c r="P25" s="296" t="s">
        <v>18</v>
      </c>
      <c r="Q25" s="239" t="s">
        <v>272</v>
      </c>
      <c r="R25" s="241" t="s">
        <v>254</v>
      </c>
      <c r="S25" s="246" t="s">
        <v>255</v>
      </c>
      <c r="T25" s="240" t="s">
        <v>26</v>
      </c>
      <c r="U25" s="240" t="s">
        <v>256</v>
      </c>
      <c r="V25" s="240" t="s">
        <v>257</v>
      </c>
      <c r="W25" s="240" t="s">
        <v>269</v>
      </c>
      <c r="X25" s="247" t="s">
        <v>273</v>
      </c>
      <c r="Y25" s="248" t="s">
        <v>19</v>
      </c>
      <c r="Z25" s="409"/>
      <c r="AA25" s="301">
        <v>200</v>
      </c>
      <c r="AB25" s="211" t="s">
        <v>258</v>
      </c>
      <c r="AC25" s="289">
        <v>100</v>
      </c>
      <c r="AD25" s="290">
        <v>100</v>
      </c>
      <c r="AE25" s="187"/>
      <c r="AF25" s="51"/>
      <c r="AG25" s="358"/>
      <c r="AH25" s="358"/>
      <c r="AI25" s="358"/>
      <c r="AJ25" s="358"/>
      <c r="AK25" s="51"/>
      <c r="AL25" s="51"/>
      <c r="AM25" s="51"/>
      <c r="AN25" s="51"/>
      <c r="AO25" s="51"/>
      <c r="AP25" s="51"/>
      <c r="AQ25" s="51"/>
      <c r="AR25" s="51"/>
      <c r="AS25" s="51"/>
      <c r="AT25" s="51"/>
      <c r="AU25" s="51"/>
    </row>
    <row r="26" spans="1:64" ht="19.899999999999999" customHeight="1" thickTop="1" x14ac:dyDescent="0.15">
      <c r="A26" s="60"/>
      <c r="B26" s="453">
        <f>F16</f>
        <v>2021</v>
      </c>
      <c r="C26" s="454"/>
      <c r="D26" s="457"/>
      <c r="E26" s="457"/>
      <c r="F26" s="458"/>
      <c r="G26" s="249">
        <f>IF(K16="-","",$K$17)</f>
        <v>47</v>
      </c>
      <c r="H26" s="250">
        <f>IF(L16="-","",$L$17)</f>
        <v>45</v>
      </c>
      <c r="I26" s="250">
        <f>IF(M16="-","",$M$17)</f>
        <v>12</v>
      </c>
      <c r="J26" s="250">
        <f>IF(N16="-","",$N$17)</f>
        <v>0</v>
      </c>
      <c r="K26" s="251">
        <f>IF(O16="-","",$O$17)</f>
        <v>70</v>
      </c>
      <c r="L26" s="297">
        <f>+シート２!$F$8</f>
        <v>200</v>
      </c>
      <c r="M26" s="258">
        <f>+シート２!$F$9</f>
        <v>100</v>
      </c>
      <c r="N26" s="259">
        <f>IF($F$18="いいえ",0,シート７!AF35)</f>
        <v>0</v>
      </c>
      <c r="O26" s="260">
        <f>+シート２!$F$10</f>
        <v>0</v>
      </c>
      <c r="P26" s="261">
        <f t="shared" ref="P26:P50" si="0">SUM(L26:O26)</f>
        <v>300</v>
      </c>
      <c r="Q26" s="269">
        <f>+シート２!$F$24</f>
        <v>168</v>
      </c>
      <c r="R26" s="260">
        <f>+シート２!$F$30+S26</f>
        <v>87.306666666666672</v>
      </c>
      <c r="S26" s="270">
        <f>シート２!N25</f>
        <v>1.3066666666666666</v>
      </c>
      <c r="T26" s="270">
        <f>IF($K$18="いいえ",シート７!X35,シート７!J9)</f>
        <v>48</v>
      </c>
      <c r="U26" s="271">
        <f>+シート２!$F$34</f>
        <v>36</v>
      </c>
      <c r="V26" s="271">
        <f>+シート２!$F$39</f>
        <v>36</v>
      </c>
      <c r="W26" s="271">
        <f>+シート２!$F$43</f>
        <v>0</v>
      </c>
      <c r="X26" s="272">
        <f ca="1">IF(AC23&lt;=12,AC25+AJ26,AJ26)</f>
        <v>9.4895235208985333</v>
      </c>
      <c r="Y26" s="273">
        <f ca="1">SUM(Q26:X26)-S26</f>
        <v>384.79619018756523</v>
      </c>
      <c r="Z26" s="274">
        <f t="shared" ref="Z26:Z50" ca="1" si="1">+P26-Y26</f>
        <v>-84.79619018756523</v>
      </c>
      <c r="AA26" s="264">
        <f t="shared" ref="AA26:AA50" ca="1" si="2">+AA25+P26-Y26</f>
        <v>115.20380981243477</v>
      </c>
      <c r="AB26" s="284">
        <f t="shared" ref="AB26:AB44" ca="1" si="3">SUM(AC26:AD26)</f>
        <v>95</v>
      </c>
      <c r="AC26" s="272">
        <f>IF(ISERROR(シート５!H9),"0",ROUND(シート５!H9/10000,0))</f>
        <v>95</v>
      </c>
      <c r="AD26" s="285">
        <f ca="1">IF(シート６!$H$1&lt;2022,ROUND(INDIRECT("シート６!H"&amp;21-(シート６!$H$1-2020)*12)/10000,0),0)</f>
        <v>0</v>
      </c>
      <c r="AE26" s="187"/>
      <c r="AF26" s="175"/>
      <c r="AG26" s="358">
        <f>IF(AC26=0,0,シート５!$E$7)</f>
        <v>7907.9362674154454</v>
      </c>
      <c r="AH26" s="358">
        <f ca="1">IF(AD26=0,0,シート６!$E$7)</f>
        <v>0</v>
      </c>
      <c r="AI26" s="359">
        <f t="shared" ref="AI26:AI50" ca="1" si="4">IF(Y26=0,0,AB26)</f>
        <v>95</v>
      </c>
      <c r="AJ26" s="358">
        <f t="shared" ref="AJ26:AJ44" ca="1" si="5">IF(ISERROR((AG26+AH26)/10000*12),"0 ",(AG26+AH26)/10000*12)</f>
        <v>9.4895235208985333</v>
      </c>
      <c r="AK26" s="51"/>
      <c r="AL26" s="51"/>
      <c r="AM26" s="51"/>
      <c r="AN26" s="51"/>
      <c r="AO26" s="51"/>
      <c r="AP26" s="51"/>
      <c r="AQ26" s="51"/>
      <c r="AR26" s="51"/>
      <c r="AS26" s="51"/>
      <c r="AT26" s="51"/>
      <c r="AU26" s="51"/>
    </row>
    <row r="27" spans="1:64" ht="19.899999999999999" customHeight="1" x14ac:dyDescent="0.15">
      <c r="A27" s="60"/>
      <c r="B27" s="455">
        <f t="shared" ref="B27:B32" si="6">B26+1</f>
        <v>2022</v>
      </c>
      <c r="C27" s="456"/>
      <c r="D27" s="449"/>
      <c r="E27" s="449"/>
      <c r="F27" s="450"/>
      <c r="G27" s="252">
        <f>IF(G26="","",G26+1)</f>
        <v>48</v>
      </c>
      <c r="H27" s="253">
        <f>IF(H26="","",H26+1)</f>
        <v>46</v>
      </c>
      <c r="I27" s="253">
        <f>IF(I26="","",I26+1)</f>
        <v>13</v>
      </c>
      <c r="J27" s="253">
        <f>IF(J26="","",J26+1)</f>
        <v>1</v>
      </c>
      <c r="K27" s="254">
        <f>IF(K26="","",K26+1)</f>
        <v>71</v>
      </c>
      <c r="L27" s="275">
        <f>L26</f>
        <v>200</v>
      </c>
      <c r="M27" s="263">
        <f>M26</f>
        <v>100</v>
      </c>
      <c r="N27" s="259">
        <f>IF($F$18="いいえ",0,シート７!AF36)</f>
        <v>0</v>
      </c>
      <c r="O27" s="262"/>
      <c r="P27" s="261">
        <f t="shared" si="0"/>
        <v>300</v>
      </c>
      <c r="Q27" s="275">
        <f>Q26</f>
        <v>168</v>
      </c>
      <c r="R27" s="276">
        <f>+シート２!$F$30+S27</f>
        <v>87.306666666666672</v>
      </c>
      <c r="S27" s="277">
        <f>シート２!N26</f>
        <v>1.3066666666666666</v>
      </c>
      <c r="T27" s="277">
        <f>IF($K$18="いいえ",シート７!X36,シート７!J10)</f>
        <v>48</v>
      </c>
      <c r="U27" s="262">
        <f>U26</f>
        <v>36</v>
      </c>
      <c r="V27" s="262">
        <f>V26</f>
        <v>36</v>
      </c>
      <c r="W27" s="262"/>
      <c r="X27" s="272">
        <f t="shared" ref="X27:X50" ca="1" si="7">IF(AJ27=0,AI26,AJ27)</f>
        <v>9.4895235208985333</v>
      </c>
      <c r="Y27" s="273">
        <f t="shared" ref="Y27:Y50" ca="1" si="8">SUM(Q27:X27)-S27</f>
        <v>384.79619018756523</v>
      </c>
      <c r="Z27" s="274">
        <f t="shared" ca="1" si="1"/>
        <v>-84.79619018756523</v>
      </c>
      <c r="AA27" s="264">
        <f t="shared" ca="1" si="2"/>
        <v>30.40761962486954</v>
      </c>
      <c r="AB27" s="284">
        <f t="shared" ca="1" si="3"/>
        <v>91</v>
      </c>
      <c r="AC27" s="272">
        <f>IF(ISERROR(シート５!H21),"0",ROUND(シート５!H21/10000,0))</f>
        <v>91</v>
      </c>
      <c r="AD27" s="285">
        <f ca="1">IF(シート６!$H$1&lt;2023,ROUND(INDIRECT("シート６!H"&amp;33-(シート６!$H$1-2020)*12)/10000,0),0)</f>
        <v>0</v>
      </c>
      <c r="AE27" s="187"/>
      <c r="AF27" s="175"/>
      <c r="AG27" s="358">
        <f>IF(AC27=0,0,シート５!$E$7)</f>
        <v>7907.9362674154454</v>
      </c>
      <c r="AH27" s="358">
        <f ca="1">IF(AD27=0,0,シート６!$E$7)</f>
        <v>0</v>
      </c>
      <c r="AI27" s="359">
        <f t="shared" ca="1" si="4"/>
        <v>91</v>
      </c>
      <c r="AJ27" s="358">
        <f t="shared" ca="1" si="5"/>
        <v>9.4895235208985333</v>
      </c>
      <c r="AK27" s="51"/>
      <c r="AL27" s="51"/>
      <c r="AM27" s="51"/>
      <c r="AN27" s="51"/>
      <c r="AO27" s="51"/>
      <c r="AP27" s="51"/>
      <c r="AQ27" s="51"/>
      <c r="AR27" s="51"/>
      <c r="AS27" s="51"/>
      <c r="AT27" s="51"/>
      <c r="AU27" s="51"/>
    </row>
    <row r="28" spans="1:64" ht="19.899999999999999" customHeight="1" x14ac:dyDescent="0.15">
      <c r="A28" s="60"/>
      <c r="B28" s="455">
        <f t="shared" si="6"/>
        <v>2023</v>
      </c>
      <c r="C28" s="456"/>
      <c r="D28" s="449"/>
      <c r="E28" s="449"/>
      <c r="F28" s="450"/>
      <c r="G28" s="252">
        <f t="shared" ref="G28:G50" si="9">IF(G27="","",G27+1)</f>
        <v>49</v>
      </c>
      <c r="H28" s="253">
        <f t="shared" ref="H28:H50" si="10">IF(H27="","",H27+1)</f>
        <v>47</v>
      </c>
      <c r="I28" s="253">
        <f t="shared" ref="I28:J50" si="11">IF(I27="","",I27+1)</f>
        <v>14</v>
      </c>
      <c r="J28" s="253">
        <f t="shared" si="11"/>
        <v>2</v>
      </c>
      <c r="K28" s="254">
        <f t="shared" ref="K28:K50" si="12">IF(K27="","",K27+1)</f>
        <v>72</v>
      </c>
      <c r="L28" s="275">
        <f>L27</f>
        <v>200</v>
      </c>
      <c r="M28" s="265">
        <f>M27</f>
        <v>100</v>
      </c>
      <c r="N28" s="259">
        <f>IF($F$18="いいえ",0,シート７!AF37)</f>
        <v>0</v>
      </c>
      <c r="O28" s="262"/>
      <c r="P28" s="261">
        <f t="shared" si="0"/>
        <v>300</v>
      </c>
      <c r="Q28" s="275">
        <f>Q27</f>
        <v>168</v>
      </c>
      <c r="R28" s="276">
        <f>+シート２!$F$30+S28</f>
        <v>87.306666666666672</v>
      </c>
      <c r="S28" s="277">
        <f>シート２!N27</f>
        <v>1.3066666666666666</v>
      </c>
      <c r="T28" s="277">
        <f>IF($K$18="いいえ",シート７!X37,シート７!J11)</f>
        <v>48</v>
      </c>
      <c r="U28" s="262">
        <f>U27</f>
        <v>36</v>
      </c>
      <c r="V28" s="262">
        <f>V27</f>
        <v>36</v>
      </c>
      <c r="W28" s="262"/>
      <c r="X28" s="272">
        <f t="shared" ca="1" si="7"/>
        <v>9.4895235208985333</v>
      </c>
      <c r="Y28" s="273">
        <f t="shared" ca="1" si="8"/>
        <v>384.79619018756523</v>
      </c>
      <c r="Z28" s="274">
        <f t="shared" ca="1" si="1"/>
        <v>-84.79619018756523</v>
      </c>
      <c r="AA28" s="264">
        <f t="shared" ca="1" si="2"/>
        <v>-54.388570562695691</v>
      </c>
      <c r="AB28" s="284">
        <f t="shared" ca="1" si="3"/>
        <v>86</v>
      </c>
      <c r="AC28" s="272">
        <f>IF(ISERROR(シート５!H33),"0",ROUND(シート５!H33/10000,0))</f>
        <v>86</v>
      </c>
      <c r="AD28" s="285">
        <f ca="1">IF(シート６!$H$1&lt;2024,ROUND(INDIRECT("シート６!H"&amp;45-(シート６!$H$1-2020)*12)/10000,0),0)</f>
        <v>0</v>
      </c>
      <c r="AE28" s="187"/>
      <c r="AF28" s="175"/>
      <c r="AG28" s="358">
        <f>IF(AC28=0,0,シート５!$E$7)</f>
        <v>7907.9362674154454</v>
      </c>
      <c r="AH28" s="358">
        <f ca="1">IF(AD28=0,0,シート６!$E$7)</f>
        <v>0</v>
      </c>
      <c r="AI28" s="359">
        <f t="shared" ca="1" si="4"/>
        <v>86</v>
      </c>
      <c r="AJ28" s="358">
        <f t="shared" ca="1" si="5"/>
        <v>9.4895235208985333</v>
      </c>
      <c r="AK28" s="51"/>
      <c r="AL28" s="51"/>
      <c r="AM28" s="51"/>
      <c r="AN28" s="51"/>
      <c r="AO28" s="51"/>
      <c r="AP28" s="51"/>
      <c r="AQ28" s="51"/>
      <c r="AR28" s="51"/>
      <c r="AS28" s="51"/>
      <c r="AT28" s="51"/>
      <c r="AU28" s="51"/>
    </row>
    <row r="29" spans="1:64" ht="19.899999999999999" customHeight="1" x14ac:dyDescent="0.15">
      <c r="A29" s="60"/>
      <c r="B29" s="455">
        <f t="shared" si="6"/>
        <v>2024</v>
      </c>
      <c r="C29" s="456"/>
      <c r="D29" s="449"/>
      <c r="E29" s="449"/>
      <c r="F29" s="450"/>
      <c r="G29" s="252">
        <f t="shared" si="9"/>
        <v>50</v>
      </c>
      <c r="H29" s="253">
        <f t="shared" si="10"/>
        <v>48</v>
      </c>
      <c r="I29" s="253">
        <f t="shared" si="11"/>
        <v>15</v>
      </c>
      <c r="J29" s="253">
        <f t="shared" si="11"/>
        <v>3</v>
      </c>
      <c r="K29" s="254">
        <f t="shared" si="12"/>
        <v>73</v>
      </c>
      <c r="L29" s="275">
        <f t="shared" ref="L29:L38" si="13">L28</f>
        <v>200</v>
      </c>
      <c r="M29" s="263">
        <f t="shared" ref="M29:M37" si="14">M28</f>
        <v>100</v>
      </c>
      <c r="N29" s="259">
        <f>IF($F$18="いいえ",0,シート７!AF38)</f>
        <v>0</v>
      </c>
      <c r="O29" s="262"/>
      <c r="P29" s="261">
        <f t="shared" si="0"/>
        <v>300</v>
      </c>
      <c r="Q29" s="275">
        <f>Q28</f>
        <v>168</v>
      </c>
      <c r="R29" s="276">
        <f>+シート２!$F$30+S29</f>
        <v>88.531666666666666</v>
      </c>
      <c r="S29" s="277">
        <f>シート２!N28</f>
        <v>2.5316666666666667</v>
      </c>
      <c r="T29" s="277">
        <f>IF($K$18="いいえ",シート７!X38,シート７!J12)</f>
        <v>68</v>
      </c>
      <c r="U29" s="262">
        <f>U28</f>
        <v>36</v>
      </c>
      <c r="V29" s="262">
        <f t="shared" ref="V29:V50" si="15">V28</f>
        <v>36</v>
      </c>
      <c r="W29" s="262"/>
      <c r="X29" s="272">
        <f t="shared" ca="1" si="7"/>
        <v>9.4895235208985333</v>
      </c>
      <c r="Y29" s="273">
        <f t="shared" ca="1" si="8"/>
        <v>406.0211901875652</v>
      </c>
      <c r="Z29" s="274">
        <f t="shared" ca="1" si="1"/>
        <v>-106.0211901875652</v>
      </c>
      <c r="AA29" s="264">
        <f t="shared" ca="1" si="2"/>
        <v>-160.40976075026089</v>
      </c>
      <c r="AB29" s="284">
        <f t="shared" ca="1" si="3"/>
        <v>80</v>
      </c>
      <c r="AC29" s="272">
        <f>IF(ISERROR(シート５!H45),"0",ROUND(シート５!H45/10000,0))</f>
        <v>80</v>
      </c>
      <c r="AD29" s="285">
        <f ca="1">IF(シート６!$H$1&lt;2025,ROUND(INDIRECT("シート６!H"&amp;57-(シート６!$H$1-2020)*12)/10000,0),0)</f>
        <v>0</v>
      </c>
      <c r="AE29" s="187"/>
      <c r="AF29" s="175"/>
      <c r="AG29" s="358">
        <f>IF(AC29=0,0,シート５!$E$7)</f>
        <v>7907.9362674154454</v>
      </c>
      <c r="AH29" s="358">
        <f ca="1">IF(AD29=0,0,シート６!$E$7)</f>
        <v>0</v>
      </c>
      <c r="AI29" s="359">
        <f t="shared" ca="1" si="4"/>
        <v>80</v>
      </c>
      <c r="AJ29" s="358">
        <f t="shared" ca="1" si="5"/>
        <v>9.4895235208985333</v>
      </c>
      <c r="AK29" s="51"/>
      <c r="AL29" s="51"/>
      <c r="AM29" s="51"/>
      <c r="AN29" s="51"/>
      <c r="AO29" s="51"/>
      <c r="AP29" s="51"/>
      <c r="AQ29" s="51"/>
      <c r="AR29" s="51"/>
      <c r="AS29" s="51"/>
      <c r="AT29" s="51"/>
      <c r="AU29" s="51"/>
    </row>
    <row r="30" spans="1:64" ht="19.899999999999999" customHeight="1" x14ac:dyDescent="0.15">
      <c r="A30" s="60"/>
      <c r="B30" s="455">
        <f t="shared" si="6"/>
        <v>2025</v>
      </c>
      <c r="C30" s="456"/>
      <c r="D30" s="449"/>
      <c r="E30" s="449"/>
      <c r="F30" s="450"/>
      <c r="G30" s="252">
        <f t="shared" si="9"/>
        <v>51</v>
      </c>
      <c r="H30" s="253">
        <f t="shared" si="10"/>
        <v>49</v>
      </c>
      <c r="I30" s="253">
        <f t="shared" si="11"/>
        <v>16</v>
      </c>
      <c r="J30" s="253">
        <f t="shared" si="11"/>
        <v>4</v>
      </c>
      <c r="K30" s="254">
        <f t="shared" si="12"/>
        <v>74</v>
      </c>
      <c r="L30" s="275">
        <f t="shared" si="13"/>
        <v>200</v>
      </c>
      <c r="M30" s="263">
        <f t="shared" si="14"/>
        <v>100</v>
      </c>
      <c r="N30" s="259">
        <f>IF($F$18="いいえ",0,シート７!AF39)</f>
        <v>0</v>
      </c>
      <c r="O30" s="262"/>
      <c r="P30" s="261">
        <f t="shared" si="0"/>
        <v>300</v>
      </c>
      <c r="Q30" s="275">
        <f>Q29</f>
        <v>168</v>
      </c>
      <c r="R30" s="276">
        <f>+シート２!$F$30+S30</f>
        <v>89.37555555555555</v>
      </c>
      <c r="S30" s="277">
        <f>シート２!N29</f>
        <v>3.3755555555555556</v>
      </c>
      <c r="T30" s="277">
        <f>IF($K$18="いいえ",シート７!X39,シート７!J13)</f>
        <v>68</v>
      </c>
      <c r="U30" s="262">
        <f t="shared" ref="U30:U50" si="16">U29</f>
        <v>36</v>
      </c>
      <c r="V30" s="262">
        <f t="shared" si="15"/>
        <v>36</v>
      </c>
      <c r="W30" s="262"/>
      <c r="X30" s="272">
        <f t="shared" ca="1" si="7"/>
        <v>9.4895235208985333</v>
      </c>
      <c r="Y30" s="273">
        <f t="shared" ca="1" si="8"/>
        <v>406.86507907645409</v>
      </c>
      <c r="Z30" s="274">
        <f t="shared" ca="1" si="1"/>
        <v>-106.86507907645409</v>
      </c>
      <c r="AA30" s="264">
        <f t="shared" ca="1" si="2"/>
        <v>-267.27483982671498</v>
      </c>
      <c r="AB30" s="284">
        <f t="shared" ca="1" si="3"/>
        <v>75</v>
      </c>
      <c r="AC30" s="272">
        <f>IF(ISERROR(シート５!H57),"0",ROUND(シート５!H57/10000,0))</f>
        <v>75</v>
      </c>
      <c r="AD30" s="285">
        <f ca="1">IF(シート６!$H$1&lt;2026,ROUND(INDIRECT("シート６!H"&amp;69-(シート６!$H$1-2020)*12)/10000,0),0)</f>
        <v>0</v>
      </c>
      <c r="AE30" s="187"/>
      <c r="AF30" s="175"/>
      <c r="AG30" s="358">
        <f>IF(AC30=0,0,シート５!$E$7)</f>
        <v>7907.9362674154454</v>
      </c>
      <c r="AH30" s="358">
        <f ca="1">IF(AD30=0,0,シート６!$E$7)</f>
        <v>0</v>
      </c>
      <c r="AI30" s="359">
        <f t="shared" ca="1" si="4"/>
        <v>75</v>
      </c>
      <c r="AJ30" s="358">
        <f t="shared" ca="1" si="5"/>
        <v>9.4895235208985333</v>
      </c>
      <c r="AK30" s="51"/>
      <c r="AL30" s="51"/>
      <c r="AM30" s="51"/>
      <c r="AN30" s="51"/>
      <c r="AO30" s="51"/>
      <c r="AP30" s="51"/>
      <c r="AQ30" s="51"/>
      <c r="AR30" s="51"/>
      <c r="AS30" s="51"/>
      <c r="AT30" s="51"/>
      <c r="AU30" s="51"/>
    </row>
    <row r="31" spans="1:64" ht="19.899999999999999" customHeight="1" x14ac:dyDescent="0.15">
      <c r="A31" s="60"/>
      <c r="B31" s="455">
        <f t="shared" si="6"/>
        <v>2026</v>
      </c>
      <c r="C31" s="456"/>
      <c r="D31" s="449"/>
      <c r="E31" s="449"/>
      <c r="F31" s="450"/>
      <c r="G31" s="252">
        <f t="shared" si="9"/>
        <v>52</v>
      </c>
      <c r="H31" s="253">
        <f t="shared" si="10"/>
        <v>50</v>
      </c>
      <c r="I31" s="253">
        <f t="shared" si="11"/>
        <v>17</v>
      </c>
      <c r="J31" s="253">
        <f t="shared" si="11"/>
        <v>5</v>
      </c>
      <c r="K31" s="254">
        <f t="shared" si="12"/>
        <v>75</v>
      </c>
      <c r="L31" s="275">
        <f t="shared" si="13"/>
        <v>200</v>
      </c>
      <c r="M31" s="263">
        <f t="shared" si="14"/>
        <v>100</v>
      </c>
      <c r="N31" s="259">
        <f>IF($F$18="いいえ",0,シート７!AF40)</f>
        <v>0</v>
      </c>
      <c r="O31" s="262"/>
      <c r="P31" s="261">
        <f t="shared" si="0"/>
        <v>300</v>
      </c>
      <c r="Q31" s="275">
        <f>Q30</f>
        <v>168</v>
      </c>
      <c r="R31" s="276">
        <f>+シート２!$F$30+S31</f>
        <v>89.37555555555555</v>
      </c>
      <c r="S31" s="277">
        <f>シート２!N30</f>
        <v>3.3755555555555556</v>
      </c>
      <c r="T31" s="277">
        <f>IF($K$18="いいえ",シート７!X40,シート７!J14)</f>
        <v>68</v>
      </c>
      <c r="U31" s="262">
        <f t="shared" si="16"/>
        <v>36</v>
      </c>
      <c r="V31" s="262">
        <f t="shared" si="15"/>
        <v>36</v>
      </c>
      <c r="W31" s="262"/>
      <c r="X31" s="272">
        <f t="shared" ca="1" si="7"/>
        <v>9.4895235208985333</v>
      </c>
      <c r="Y31" s="273">
        <f t="shared" ca="1" si="8"/>
        <v>406.86507907645409</v>
      </c>
      <c r="Z31" s="274">
        <f t="shared" ca="1" si="1"/>
        <v>-106.86507907645409</v>
      </c>
      <c r="AA31" s="264">
        <f t="shared" ca="1" si="2"/>
        <v>-374.13991890316908</v>
      </c>
      <c r="AB31" s="284">
        <f ca="1">SUM(AC31:AD31)</f>
        <v>69</v>
      </c>
      <c r="AC31" s="272">
        <f>IF(ISERROR(シート５!H69),"0",ROUND(シート５!H69/10000,0))</f>
        <v>69</v>
      </c>
      <c r="AD31" s="285">
        <f ca="1">IF(シート６!$H$1&lt;2027,ROUND(INDIRECT("シート６!H"&amp;81-(シート６!$H$1-2020)*12)/10000,0),0)</f>
        <v>0</v>
      </c>
      <c r="AE31" s="187"/>
      <c r="AF31" s="175"/>
      <c r="AG31" s="358">
        <f>IF(AC31=0,0,シート５!$E$7)</f>
        <v>7907.9362674154454</v>
      </c>
      <c r="AH31" s="358">
        <f ca="1">IF(AD31=0,0,シート６!$E$7)</f>
        <v>0</v>
      </c>
      <c r="AI31" s="359">
        <f t="shared" ca="1" si="4"/>
        <v>69</v>
      </c>
      <c r="AJ31" s="358">
        <f t="shared" ca="1" si="5"/>
        <v>9.4895235208985333</v>
      </c>
      <c r="AK31" s="51"/>
      <c r="AL31" s="51"/>
      <c r="AM31" s="51"/>
      <c r="AN31" s="51"/>
      <c r="AO31" s="51"/>
      <c r="AP31" s="51"/>
      <c r="AQ31" s="51"/>
      <c r="AR31" s="51"/>
      <c r="AS31" s="51"/>
      <c r="AT31" s="51"/>
      <c r="AU31" s="51"/>
    </row>
    <row r="32" spans="1:64" ht="19.899999999999999" customHeight="1" x14ac:dyDescent="0.15">
      <c r="A32" s="60"/>
      <c r="B32" s="455">
        <f t="shared" si="6"/>
        <v>2027</v>
      </c>
      <c r="C32" s="456"/>
      <c r="D32" s="449"/>
      <c r="E32" s="449"/>
      <c r="F32" s="450"/>
      <c r="G32" s="252">
        <f t="shared" si="9"/>
        <v>53</v>
      </c>
      <c r="H32" s="253">
        <f t="shared" si="10"/>
        <v>51</v>
      </c>
      <c r="I32" s="253">
        <f t="shared" si="11"/>
        <v>18</v>
      </c>
      <c r="J32" s="253">
        <f t="shared" si="11"/>
        <v>6</v>
      </c>
      <c r="K32" s="254">
        <f t="shared" si="12"/>
        <v>76</v>
      </c>
      <c r="L32" s="298">
        <f t="shared" si="13"/>
        <v>200</v>
      </c>
      <c r="M32" s="263">
        <f t="shared" si="14"/>
        <v>100</v>
      </c>
      <c r="N32" s="259">
        <f>IF($F$18="いいえ",0,シート７!AF41)</f>
        <v>0</v>
      </c>
      <c r="O32" s="262"/>
      <c r="P32" s="261">
        <f t="shared" si="0"/>
        <v>300</v>
      </c>
      <c r="Q32" s="275">
        <f t="shared" ref="Q32:Q41" si="17">Q31</f>
        <v>168</v>
      </c>
      <c r="R32" s="276">
        <f>+シート２!$F$30+S32</f>
        <v>91.063333333333333</v>
      </c>
      <c r="S32" s="277">
        <f>シート２!N31</f>
        <v>5.0633333333333335</v>
      </c>
      <c r="T32" s="277">
        <f>IF($K$18="いいえ",シート７!X41,シート７!J15)</f>
        <v>114</v>
      </c>
      <c r="U32" s="262">
        <f t="shared" si="16"/>
        <v>36</v>
      </c>
      <c r="V32" s="262">
        <f t="shared" si="15"/>
        <v>36</v>
      </c>
      <c r="W32" s="262"/>
      <c r="X32" s="272">
        <f t="shared" ca="1" si="7"/>
        <v>9.4895235208985333</v>
      </c>
      <c r="Y32" s="273">
        <f t="shared" ca="1" si="8"/>
        <v>454.55285685423189</v>
      </c>
      <c r="Z32" s="274">
        <f t="shared" ca="1" si="1"/>
        <v>-154.55285685423189</v>
      </c>
      <c r="AA32" s="264">
        <f t="shared" ca="1" si="2"/>
        <v>-528.69277575740102</v>
      </c>
      <c r="AB32" s="284">
        <f t="shared" ca="1" si="3"/>
        <v>62</v>
      </c>
      <c r="AC32" s="272">
        <f>IF(ISERROR(シート５!H81),"0",ROUND(シート５!H81/10000,0))</f>
        <v>62</v>
      </c>
      <c r="AD32" s="285">
        <f ca="1">IF(シート６!$H$1&lt;2028,ROUND(INDIRECT("シート６!H"&amp;93-(シート６!$H$1-2020)*12)/10000,0),0)</f>
        <v>0</v>
      </c>
      <c r="AE32" s="187"/>
      <c r="AF32" s="175"/>
      <c r="AG32" s="358">
        <f>IF(AC32=0,0,シート５!$E$7)</f>
        <v>7907.9362674154454</v>
      </c>
      <c r="AH32" s="358">
        <f ca="1">IF(AD32=0,0,シート６!$E$7)</f>
        <v>0</v>
      </c>
      <c r="AI32" s="359">
        <f t="shared" ca="1" si="4"/>
        <v>62</v>
      </c>
      <c r="AJ32" s="358">
        <f t="shared" ca="1" si="5"/>
        <v>9.4895235208985333</v>
      </c>
      <c r="AK32" s="51"/>
      <c r="AL32" s="51"/>
      <c r="AM32" s="51"/>
      <c r="AN32" s="51"/>
      <c r="AO32" s="51"/>
      <c r="AP32" s="51"/>
      <c r="AQ32" s="51"/>
      <c r="AR32" s="51"/>
      <c r="AS32" s="51"/>
      <c r="AT32" s="51"/>
      <c r="AU32" s="51"/>
    </row>
    <row r="33" spans="1:47" ht="19.899999999999999" customHeight="1" x14ac:dyDescent="0.15">
      <c r="A33" s="60"/>
      <c r="B33" s="455">
        <f t="shared" ref="B33:B50" si="18">B32+1</f>
        <v>2028</v>
      </c>
      <c r="C33" s="456"/>
      <c r="D33" s="449"/>
      <c r="E33" s="449"/>
      <c r="F33" s="450"/>
      <c r="G33" s="252">
        <f t="shared" si="9"/>
        <v>54</v>
      </c>
      <c r="H33" s="253">
        <f t="shared" si="10"/>
        <v>52</v>
      </c>
      <c r="I33" s="253">
        <f t="shared" si="11"/>
        <v>19</v>
      </c>
      <c r="J33" s="253">
        <f t="shared" si="11"/>
        <v>7</v>
      </c>
      <c r="K33" s="254">
        <f t="shared" si="12"/>
        <v>77</v>
      </c>
      <c r="L33" s="275">
        <f>L32</f>
        <v>200</v>
      </c>
      <c r="M33" s="263">
        <f t="shared" si="14"/>
        <v>100</v>
      </c>
      <c r="N33" s="259">
        <f>IF($F$18="いいえ",0,シート７!AF42)</f>
        <v>0</v>
      </c>
      <c r="O33" s="262"/>
      <c r="P33" s="261">
        <f t="shared" si="0"/>
        <v>300</v>
      </c>
      <c r="Q33" s="275">
        <f t="shared" si="17"/>
        <v>168</v>
      </c>
      <c r="R33" s="276">
        <f>+シート２!$F$30+S33</f>
        <v>91.063333333333333</v>
      </c>
      <c r="S33" s="277">
        <f>シート２!N32</f>
        <v>5.0633333333333335</v>
      </c>
      <c r="T33" s="277">
        <f>IF($K$18="いいえ",シート７!X42,シート７!J16)</f>
        <v>86</v>
      </c>
      <c r="U33" s="262">
        <f>U32</f>
        <v>36</v>
      </c>
      <c r="V33" s="262">
        <f t="shared" si="15"/>
        <v>36</v>
      </c>
      <c r="W33" s="262"/>
      <c r="X33" s="272">
        <f t="shared" ca="1" si="7"/>
        <v>60.274514616605472</v>
      </c>
      <c r="Y33" s="273">
        <f t="shared" ca="1" si="8"/>
        <v>477.3378479499388</v>
      </c>
      <c r="Z33" s="274">
        <f t="shared" ca="1" si="1"/>
        <v>-177.3378479499388</v>
      </c>
      <c r="AA33" s="264">
        <f t="shared" ca="1" si="2"/>
        <v>-706.03062370733983</v>
      </c>
      <c r="AB33" s="284">
        <f t="shared" ca="1" si="3"/>
        <v>106</v>
      </c>
      <c r="AC33" s="272">
        <f>IF(ISERROR(シート５!H93),"0",ROUND(シート５!H93/10000,0))</f>
        <v>56</v>
      </c>
      <c r="AD33" s="285">
        <f ca="1">IF(シート６!$H$1&lt;2029,ROUND(INDIRECT("シート６!H"&amp;105-(シート６!$H$1-2020)*12)/10000,0),0)</f>
        <v>50</v>
      </c>
      <c r="AE33" s="187"/>
      <c r="AF33" s="175"/>
      <c r="AG33" s="358">
        <f>IF(AC33=0,0,シート５!$E$7)</f>
        <v>7907.9362674154454</v>
      </c>
      <c r="AH33" s="358">
        <f ca="1">IF(AD33=0,0,シート６!$E$7)</f>
        <v>42320.825913089117</v>
      </c>
      <c r="AI33" s="359">
        <f t="shared" ca="1" si="4"/>
        <v>106</v>
      </c>
      <c r="AJ33" s="358">
        <f t="shared" ca="1" si="5"/>
        <v>60.274514616605472</v>
      </c>
      <c r="AK33" s="51"/>
      <c r="AL33" s="51"/>
      <c r="AM33" s="51"/>
      <c r="AN33" s="51"/>
      <c r="AO33" s="51"/>
      <c r="AP33" s="51"/>
      <c r="AQ33" s="51"/>
      <c r="AR33" s="51"/>
      <c r="AS33" s="51"/>
      <c r="AT33" s="51"/>
      <c r="AU33" s="51"/>
    </row>
    <row r="34" spans="1:47" ht="19.899999999999999" customHeight="1" x14ac:dyDescent="0.15">
      <c r="A34" s="60"/>
      <c r="B34" s="455">
        <f t="shared" si="18"/>
        <v>2029</v>
      </c>
      <c r="C34" s="456"/>
      <c r="D34" s="449"/>
      <c r="E34" s="449"/>
      <c r="F34" s="450"/>
      <c r="G34" s="252">
        <f t="shared" si="9"/>
        <v>55</v>
      </c>
      <c r="H34" s="253">
        <f t="shared" si="10"/>
        <v>53</v>
      </c>
      <c r="I34" s="253">
        <f t="shared" si="11"/>
        <v>20</v>
      </c>
      <c r="J34" s="253">
        <f t="shared" si="11"/>
        <v>8</v>
      </c>
      <c r="K34" s="254">
        <f t="shared" si="12"/>
        <v>78</v>
      </c>
      <c r="L34" s="275">
        <f>L33</f>
        <v>200</v>
      </c>
      <c r="M34" s="263">
        <f t="shared" si="14"/>
        <v>100</v>
      </c>
      <c r="N34" s="259">
        <f>IF($F$18="いいえ",0,シート７!AF43)</f>
        <v>0</v>
      </c>
      <c r="O34" s="262"/>
      <c r="P34" s="261">
        <f t="shared" si="0"/>
        <v>300</v>
      </c>
      <c r="Q34" s="275">
        <f t="shared" si="17"/>
        <v>168</v>
      </c>
      <c r="R34" s="276">
        <f>+シート２!$F$30+S34</f>
        <v>91.063333333333333</v>
      </c>
      <c r="S34" s="277">
        <f>シート２!N33</f>
        <v>5.0633333333333335</v>
      </c>
      <c r="T34" s="277">
        <f>IF($K$18="いいえ",シート７!X43,シート７!J17)</f>
        <v>86</v>
      </c>
      <c r="U34" s="262">
        <f t="shared" si="16"/>
        <v>36</v>
      </c>
      <c r="V34" s="262">
        <f t="shared" si="15"/>
        <v>36</v>
      </c>
      <c r="W34" s="262"/>
      <c r="X34" s="272">
        <f t="shared" ca="1" si="7"/>
        <v>9.4895235208985333</v>
      </c>
      <c r="Y34" s="273">
        <f t="shared" ca="1" si="8"/>
        <v>426.55285685423189</v>
      </c>
      <c r="Z34" s="274">
        <f t="shared" ca="1" si="1"/>
        <v>-126.55285685423189</v>
      </c>
      <c r="AA34" s="264">
        <f t="shared" ca="1" si="2"/>
        <v>-832.58348056157172</v>
      </c>
      <c r="AB34" s="284">
        <f t="shared" ca="1" si="3"/>
        <v>49</v>
      </c>
      <c r="AC34" s="272">
        <f>IF(ISERROR(シート５!H105),"0",ROUND(シート５!H105/10000,0))</f>
        <v>49</v>
      </c>
      <c r="AD34" s="285">
        <f ca="1">IF(シート６!$H$1&lt;2030,ROUND(INDIRECT("シート６!H"&amp;117-(シート６!$H$1-2020)*12)/10000,0),0)</f>
        <v>0</v>
      </c>
      <c r="AE34" s="187"/>
      <c r="AF34" s="175"/>
      <c r="AG34" s="358">
        <f>IF(AC34=0,0,シート５!$E$7)</f>
        <v>7907.9362674154454</v>
      </c>
      <c r="AH34" s="358">
        <f ca="1">IF(AD34=0,0,シート６!$E$7)</f>
        <v>0</v>
      </c>
      <c r="AI34" s="359">
        <f t="shared" ca="1" si="4"/>
        <v>49</v>
      </c>
      <c r="AJ34" s="358">
        <f t="shared" ca="1" si="5"/>
        <v>9.4895235208985333</v>
      </c>
      <c r="AK34" s="51"/>
      <c r="AL34" s="51"/>
      <c r="AM34" s="51"/>
      <c r="AN34" s="51"/>
      <c r="AO34" s="51"/>
      <c r="AP34" s="51"/>
      <c r="AQ34" s="51"/>
      <c r="AR34" s="51"/>
      <c r="AS34" s="51"/>
      <c r="AT34" s="51"/>
      <c r="AU34" s="51"/>
    </row>
    <row r="35" spans="1:47" ht="19.899999999999999" customHeight="1" x14ac:dyDescent="0.15">
      <c r="A35" s="60"/>
      <c r="B35" s="455">
        <f t="shared" si="18"/>
        <v>2030</v>
      </c>
      <c r="C35" s="456"/>
      <c r="D35" s="449"/>
      <c r="E35" s="449"/>
      <c r="F35" s="450"/>
      <c r="G35" s="252">
        <f t="shared" si="9"/>
        <v>56</v>
      </c>
      <c r="H35" s="253">
        <f t="shared" si="10"/>
        <v>54</v>
      </c>
      <c r="I35" s="253">
        <f t="shared" si="11"/>
        <v>21</v>
      </c>
      <c r="J35" s="253">
        <f t="shared" si="11"/>
        <v>9</v>
      </c>
      <c r="K35" s="254">
        <f t="shared" si="12"/>
        <v>79</v>
      </c>
      <c r="L35" s="275">
        <f t="shared" si="13"/>
        <v>200</v>
      </c>
      <c r="M35" s="263">
        <f t="shared" si="14"/>
        <v>100</v>
      </c>
      <c r="N35" s="259">
        <f>IF($F$18="いいえ",0,シート７!AF44)</f>
        <v>0</v>
      </c>
      <c r="O35" s="262"/>
      <c r="P35" s="261">
        <f t="shared" si="0"/>
        <v>300</v>
      </c>
      <c r="Q35" s="275">
        <f>Q34</f>
        <v>168</v>
      </c>
      <c r="R35" s="276">
        <f>+シート２!$F$30+S35</f>
        <v>91.063333333333333</v>
      </c>
      <c r="S35" s="277">
        <f>シート２!N34</f>
        <v>5.0633333333333335</v>
      </c>
      <c r="T35" s="277">
        <f>IF($K$18="いいえ",シート７!X44,シート７!J18)</f>
        <v>86</v>
      </c>
      <c r="U35" s="262">
        <f t="shared" si="16"/>
        <v>36</v>
      </c>
      <c r="V35" s="262">
        <f t="shared" si="15"/>
        <v>36</v>
      </c>
      <c r="W35" s="262"/>
      <c r="X35" s="272">
        <f t="shared" ca="1" si="7"/>
        <v>9.4895235208985333</v>
      </c>
      <c r="Y35" s="273">
        <f t="shared" ca="1" si="8"/>
        <v>426.55285685423189</v>
      </c>
      <c r="Z35" s="274">
        <f t="shared" ca="1" si="1"/>
        <v>-126.55285685423189</v>
      </c>
      <c r="AA35" s="264">
        <f t="shared" ca="1" si="2"/>
        <v>-959.13633741580361</v>
      </c>
      <c r="AB35" s="284">
        <f t="shared" ca="1" si="3"/>
        <v>42</v>
      </c>
      <c r="AC35" s="272">
        <f>IF(ISERROR(シート５!H117),"0",ROUND(シート５!H117/10000,0))</f>
        <v>42</v>
      </c>
      <c r="AD35" s="285">
        <f ca="1">IF(シート６!$H$1&lt;2031,ROUND(INDIRECT("シート６!H"&amp;129-(シート６!$H$1-2020)*12)/10000,0),0)</f>
        <v>0</v>
      </c>
      <c r="AE35" s="187"/>
      <c r="AF35" s="175"/>
      <c r="AG35" s="358">
        <f>IF(AC35=0,0,シート５!$E$7)</f>
        <v>7907.9362674154454</v>
      </c>
      <c r="AH35" s="358">
        <f ca="1">IF(AD35=0,0,シート６!$E$7)</f>
        <v>0</v>
      </c>
      <c r="AI35" s="359">
        <f t="shared" ca="1" si="4"/>
        <v>42</v>
      </c>
      <c r="AJ35" s="358">
        <f t="shared" ca="1" si="5"/>
        <v>9.4895235208985333</v>
      </c>
      <c r="AK35" s="51"/>
      <c r="AL35" s="51"/>
      <c r="AM35" s="51"/>
      <c r="AN35" s="51"/>
      <c r="AO35" s="51"/>
      <c r="AP35" s="51"/>
      <c r="AQ35" s="51"/>
      <c r="AR35" s="51"/>
      <c r="AS35" s="51"/>
      <c r="AT35" s="51"/>
      <c r="AU35" s="51"/>
    </row>
    <row r="36" spans="1:47" ht="19.899999999999999" customHeight="1" x14ac:dyDescent="0.15">
      <c r="A36" s="60"/>
      <c r="B36" s="455">
        <f t="shared" si="18"/>
        <v>2031</v>
      </c>
      <c r="C36" s="456"/>
      <c r="D36" s="449"/>
      <c r="E36" s="449"/>
      <c r="F36" s="450"/>
      <c r="G36" s="252">
        <f t="shared" si="9"/>
        <v>57</v>
      </c>
      <c r="H36" s="253">
        <f t="shared" si="10"/>
        <v>55</v>
      </c>
      <c r="I36" s="253">
        <f t="shared" si="11"/>
        <v>22</v>
      </c>
      <c r="J36" s="253">
        <f t="shared" si="11"/>
        <v>10</v>
      </c>
      <c r="K36" s="254">
        <f t="shared" si="12"/>
        <v>80</v>
      </c>
      <c r="L36" s="275">
        <f t="shared" si="13"/>
        <v>200</v>
      </c>
      <c r="M36" s="263">
        <f t="shared" si="14"/>
        <v>100</v>
      </c>
      <c r="N36" s="259">
        <f>IF($F$18="いいえ",0,シート７!AF45)</f>
        <v>0</v>
      </c>
      <c r="O36" s="262"/>
      <c r="P36" s="261">
        <f t="shared" si="0"/>
        <v>300</v>
      </c>
      <c r="Q36" s="275">
        <f t="shared" si="17"/>
        <v>168</v>
      </c>
      <c r="R36" s="276">
        <f>+シート２!$F$30+S36</f>
        <v>91.063333333333333</v>
      </c>
      <c r="S36" s="277">
        <f>シート２!N35</f>
        <v>5.0633333333333335</v>
      </c>
      <c r="T36" s="277">
        <f>IF($K$18="いいえ",シート７!X45,シート７!J19)</f>
        <v>32</v>
      </c>
      <c r="U36" s="262">
        <f t="shared" si="16"/>
        <v>36</v>
      </c>
      <c r="V36" s="262">
        <f t="shared" si="15"/>
        <v>36</v>
      </c>
      <c r="W36" s="262"/>
      <c r="X36" s="272">
        <f t="shared" ca="1" si="7"/>
        <v>9.4895235208985333</v>
      </c>
      <c r="Y36" s="273">
        <f t="shared" ca="1" si="8"/>
        <v>372.55285685423189</v>
      </c>
      <c r="Z36" s="274">
        <f t="shared" ca="1" si="1"/>
        <v>-72.552856854231891</v>
      </c>
      <c r="AA36" s="264">
        <f t="shared" ca="1" si="2"/>
        <v>-1031.6891942700354</v>
      </c>
      <c r="AB36" s="284">
        <f t="shared" ca="1" si="3"/>
        <v>34</v>
      </c>
      <c r="AC36" s="272">
        <f>IF(ISERROR(シート５!H129),"0",ROUND(シート５!H129/10000,0))</f>
        <v>34</v>
      </c>
      <c r="AD36" s="285">
        <f ca="1">IF(シート６!$H$1&lt;2032,ROUND(INDIRECT("シート６!H"&amp;141-(シート６!$H$1-2020)*12)/10000,0),0)</f>
        <v>0</v>
      </c>
      <c r="AE36" s="187"/>
      <c r="AF36" s="175"/>
      <c r="AG36" s="358">
        <f>IF(AC36=0,0,シート５!$E$7)</f>
        <v>7907.9362674154454</v>
      </c>
      <c r="AH36" s="358">
        <f ca="1">IF(AD36=0,0,シート６!$E$7)</f>
        <v>0</v>
      </c>
      <c r="AI36" s="359">
        <f t="shared" ca="1" si="4"/>
        <v>34</v>
      </c>
      <c r="AJ36" s="358">
        <f t="shared" ca="1" si="5"/>
        <v>9.4895235208985333</v>
      </c>
      <c r="AK36" s="51"/>
      <c r="AL36" s="51"/>
      <c r="AM36" s="51"/>
      <c r="AN36" s="51"/>
      <c r="AO36" s="51"/>
      <c r="AP36" s="51"/>
      <c r="AQ36" s="51"/>
      <c r="AR36" s="51"/>
      <c r="AS36" s="51"/>
      <c r="AT36" s="51"/>
      <c r="AU36" s="51"/>
    </row>
    <row r="37" spans="1:47" ht="19.899999999999999" customHeight="1" x14ac:dyDescent="0.15">
      <c r="A37" s="60"/>
      <c r="B37" s="455">
        <f t="shared" si="18"/>
        <v>2032</v>
      </c>
      <c r="C37" s="456"/>
      <c r="D37" s="449"/>
      <c r="E37" s="449"/>
      <c r="F37" s="450"/>
      <c r="G37" s="252">
        <f t="shared" si="9"/>
        <v>58</v>
      </c>
      <c r="H37" s="253">
        <f t="shared" si="10"/>
        <v>56</v>
      </c>
      <c r="I37" s="253">
        <f t="shared" si="11"/>
        <v>23</v>
      </c>
      <c r="J37" s="253">
        <f t="shared" si="11"/>
        <v>11</v>
      </c>
      <c r="K37" s="254">
        <f t="shared" si="12"/>
        <v>81</v>
      </c>
      <c r="L37" s="275">
        <f t="shared" si="13"/>
        <v>200</v>
      </c>
      <c r="M37" s="263">
        <f t="shared" si="14"/>
        <v>100</v>
      </c>
      <c r="N37" s="259">
        <f>IF($F$18="いいえ",0,シート７!AF46)</f>
        <v>0</v>
      </c>
      <c r="O37" s="262"/>
      <c r="P37" s="261">
        <f t="shared" si="0"/>
        <v>300</v>
      </c>
      <c r="Q37" s="275">
        <f t="shared" si="17"/>
        <v>168</v>
      </c>
      <c r="R37" s="276">
        <f>+シート２!$F$30+S37</f>
        <v>91.063333333333333</v>
      </c>
      <c r="S37" s="277">
        <f>シート２!N36</f>
        <v>5.0633333333333335</v>
      </c>
      <c r="T37" s="277">
        <f>IF($K$18="いいえ",シート７!X46,シート７!J20)</f>
        <v>32</v>
      </c>
      <c r="U37" s="262">
        <f t="shared" si="16"/>
        <v>36</v>
      </c>
      <c r="V37" s="262">
        <f t="shared" si="15"/>
        <v>36</v>
      </c>
      <c r="W37" s="262"/>
      <c r="X37" s="272">
        <f t="shared" ca="1" si="7"/>
        <v>9.4895235208985333</v>
      </c>
      <c r="Y37" s="273">
        <f t="shared" ca="1" si="8"/>
        <v>372.55285685423189</v>
      </c>
      <c r="Z37" s="274">
        <f t="shared" ca="1" si="1"/>
        <v>-72.552856854231891</v>
      </c>
      <c r="AA37" s="264">
        <f t="shared" ca="1" si="2"/>
        <v>-1104.2420511242672</v>
      </c>
      <c r="AB37" s="284">
        <f t="shared" ca="1" si="3"/>
        <v>26</v>
      </c>
      <c r="AC37" s="272">
        <f>IF(ISERROR(シート５!H141),"0",ROUND(シート５!H141/10000,0))</f>
        <v>26</v>
      </c>
      <c r="AD37" s="285">
        <f ca="1">IF(シート６!$H$1&lt;2033,ROUND(INDIRECT("シート６!H"&amp;153-(シート６!$H$1-2020)*12)/10000,0),0)</f>
        <v>0</v>
      </c>
      <c r="AE37" s="187"/>
      <c r="AF37" s="175"/>
      <c r="AG37" s="358">
        <f>IF(AC37=0,0,シート５!$E$7)</f>
        <v>7907.9362674154454</v>
      </c>
      <c r="AH37" s="358">
        <f ca="1">IF(AD37=0,0,シート６!$E$7)</f>
        <v>0</v>
      </c>
      <c r="AI37" s="359">
        <f t="shared" ca="1" si="4"/>
        <v>26</v>
      </c>
      <c r="AJ37" s="358">
        <f t="shared" ca="1" si="5"/>
        <v>9.4895235208985333</v>
      </c>
      <c r="AK37" s="51"/>
      <c r="AL37" s="51"/>
      <c r="AM37" s="51"/>
      <c r="AN37" s="51"/>
      <c r="AO37" s="51"/>
      <c r="AP37" s="51"/>
      <c r="AQ37" s="51"/>
      <c r="AR37" s="51"/>
      <c r="AS37" s="51"/>
      <c r="AT37" s="51"/>
      <c r="AU37" s="51"/>
    </row>
    <row r="38" spans="1:47" ht="19.899999999999999" customHeight="1" x14ac:dyDescent="0.15">
      <c r="A38" s="60"/>
      <c r="B38" s="455">
        <f t="shared" si="18"/>
        <v>2033</v>
      </c>
      <c r="C38" s="456"/>
      <c r="D38" s="449"/>
      <c r="E38" s="449"/>
      <c r="F38" s="450"/>
      <c r="G38" s="252">
        <f t="shared" si="9"/>
        <v>59</v>
      </c>
      <c r="H38" s="253">
        <f t="shared" si="10"/>
        <v>57</v>
      </c>
      <c r="I38" s="253">
        <f t="shared" si="11"/>
        <v>24</v>
      </c>
      <c r="J38" s="253">
        <f t="shared" si="11"/>
        <v>12</v>
      </c>
      <c r="K38" s="254">
        <f t="shared" si="12"/>
        <v>82</v>
      </c>
      <c r="L38" s="275">
        <f t="shared" si="13"/>
        <v>200</v>
      </c>
      <c r="M38" s="263">
        <f t="shared" ref="L38:M45" si="19">M37</f>
        <v>100</v>
      </c>
      <c r="N38" s="259">
        <f>IF($F$18="いいえ",0,シート７!AF47)</f>
        <v>0</v>
      </c>
      <c r="O38" s="262"/>
      <c r="P38" s="261">
        <f t="shared" si="0"/>
        <v>300</v>
      </c>
      <c r="Q38" s="275">
        <f t="shared" si="17"/>
        <v>168</v>
      </c>
      <c r="R38" s="276">
        <f>+シート２!$F$30+S38</f>
        <v>91.063333333333333</v>
      </c>
      <c r="S38" s="277">
        <f>シート２!N37</f>
        <v>5.0633333333333335</v>
      </c>
      <c r="T38" s="277">
        <f>IF($K$18="いいえ",シート７!X47,シート７!J21)</f>
        <v>48</v>
      </c>
      <c r="U38" s="262">
        <f t="shared" si="16"/>
        <v>36</v>
      </c>
      <c r="V38" s="262">
        <f t="shared" si="15"/>
        <v>36</v>
      </c>
      <c r="W38" s="262"/>
      <c r="X38" s="272">
        <f t="shared" ca="1" si="7"/>
        <v>9.4895235208985333</v>
      </c>
      <c r="Y38" s="273">
        <f t="shared" ca="1" si="8"/>
        <v>388.55285685423189</v>
      </c>
      <c r="Z38" s="274">
        <f t="shared" ca="1" si="1"/>
        <v>-88.552856854231891</v>
      </c>
      <c r="AA38" s="264">
        <f t="shared" ca="1" si="2"/>
        <v>-1192.7949079784989</v>
      </c>
      <c r="AB38" s="284">
        <f t="shared" ca="1" si="3"/>
        <v>18</v>
      </c>
      <c r="AC38" s="272">
        <f>IF(ISERROR(シート５!H153),"0",ROUND(シート５!H153/10000,0))</f>
        <v>18</v>
      </c>
      <c r="AD38" s="285">
        <f ca="1">IF(シート６!$H$1&lt;2034,ROUND(INDIRECT("シート６!H"&amp;165-(シート６!$H$1-2020)*12)/10000,0),0)</f>
        <v>0</v>
      </c>
      <c r="AE38" s="187"/>
      <c r="AF38" s="175"/>
      <c r="AG38" s="358">
        <f>IF(AC38=0,0,シート５!$E$7)</f>
        <v>7907.9362674154454</v>
      </c>
      <c r="AH38" s="358">
        <f ca="1">IF(AD38=0,0,シート６!$E$7)</f>
        <v>0</v>
      </c>
      <c r="AI38" s="359">
        <f t="shared" ca="1" si="4"/>
        <v>18</v>
      </c>
      <c r="AJ38" s="358">
        <f t="shared" ca="1" si="5"/>
        <v>9.4895235208985333</v>
      </c>
      <c r="AK38" s="51"/>
      <c r="AL38" s="51"/>
      <c r="AM38" s="51"/>
      <c r="AN38" s="51"/>
      <c r="AO38" s="51"/>
      <c r="AP38" s="51"/>
      <c r="AQ38" s="51"/>
      <c r="AR38" s="51"/>
      <c r="AS38" s="51"/>
      <c r="AT38" s="51"/>
      <c r="AU38" s="51"/>
    </row>
    <row r="39" spans="1:47" ht="19.899999999999999" customHeight="1" x14ac:dyDescent="0.15">
      <c r="A39" s="60"/>
      <c r="B39" s="455">
        <f t="shared" si="18"/>
        <v>2034</v>
      </c>
      <c r="C39" s="456"/>
      <c r="D39" s="449"/>
      <c r="E39" s="449"/>
      <c r="F39" s="450"/>
      <c r="G39" s="252">
        <f t="shared" si="9"/>
        <v>60</v>
      </c>
      <c r="H39" s="253">
        <f t="shared" si="10"/>
        <v>58</v>
      </c>
      <c r="I39" s="253">
        <f t="shared" si="11"/>
        <v>25</v>
      </c>
      <c r="J39" s="253">
        <f t="shared" si="11"/>
        <v>13</v>
      </c>
      <c r="K39" s="254">
        <f t="shared" si="12"/>
        <v>83</v>
      </c>
      <c r="L39" s="275">
        <f t="shared" si="19"/>
        <v>200</v>
      </c>
      <c r="M39" s="263">
        <f t="shared" si="19"/>
        <v>100</v>
      </c>
      <c r="N39" s="259">
        <f>IF($F$18="いいえ",0,シート７!AF48)</f>
        <v>0</v>
      </c>
      <c r="O39" s="262"/>
      <c r="P39" s="261">
        <f t="shared" si="0"/>
        <v>300</v>
      </c>
      <c r="Q39" s="275">
        <f t="shared" si="17"/>
        <v>168</v>
      </c>
      <c r="R39" s="276">
        <f>+シート２!$F$30+S39</f>
        <v>91.063333333333333</v>
      </c>
      <c r="S39" s="277">
        <f>シート２!N38</f>
        <v>5.0633333333333335</v>
      </c>
      <c r="T39" s="277">
        <f>IF($K$18="いいえ",シート７!X48,シート７!J22)</f>
        <v>48</v>
      </c>
      <c r="U39" s="262">
        <f t="shared" si="16"/>
        <v>36</v>
      </c>
      <c r="V39" s="262">
        <f t="shared" si="15"/>
        <v>36</v>
      </c>
      <c r="W39" s="262"/>
      <c r="X39" s="272">
        <f t="shared" ca="1" si="7"/>
        <v>9.4895235208985333</v>
      </c>
      <c r="Y39" s="273">
        <f t="shared" ca="1" si="8"/>
        <v>388.55285685423189</v>
      </c>
      <c r="Z39" s="274">
        <f t="shared" ca="1" si="1"/>
        <v>-88.552856854231891</v>
      </c>
      <c r="AA39" s="264">
        <f t="shared" ca="1" si="2"/>
        <v>-1281.3477648327307</v>
      </c>
      <c r="AB39" s="284">
        <f t="shared" ca="1" si="3"/>
        <v>9</v>
      </c>
      <c r="AC39" s="272">
        <f>IF(ISERROR(シート５!H165),"0",ROUND(シート５!H165/10000,0))</f>
        <v>9</v>
      </c>
      <c r="AD39" s="285">
        <f ca="1">IF(シート６!$H$1&lt;2035,ROUND(INDIRECT("シート６!H"&amp;177-(シート６!$H$1-2020)*12)/10000,0),0)</f>
        <v>0</v>
      </c>
      <c r="AE39" s="187"/>
      <c r="AF39" s="175"/>
      <c r="AG39" s="358">
        <f>IF(AC39=0,0,シート５!$E$7)</f>
        <v>7907.9362674154454</v>
      </c>
      <c r="AH39" s="358">
        <f ca="1">IF(AD39=0,0,シート６!$E$7)</f>
        <v>0</v>
      </c>
      <c r="AI39" s="359">
        <f t="shared" ca="1" si="4"/>
        <v>9</v>
      </c>
      <c r="AJ39" s="358">
        <f t="shared" ca="1" si="5"/>
        <v>9.4895235208985333</v>
      </c>
      <c r="AK39" s="51"/>
      <c r="AL39" s="51"/>
      <c r="AM39" s="51"/>
      <c r="AN39" s="51"/>
      <c r="AO39" s="51"/>
      <c r="AP39" s="51"/>
      <c r="AQ39" s="51"/>
      <c r="AR39" s="51"/>
      <c r="AS39" s="51"/>
      <c r="AT39" s="51"/>
      <c r="AU39" s="51"/>
    </row>
    <row r="40" spans="1:47" ht="19.899999999999999" customHeight="1" x14ac:dyDescent="0.15">
      <c r="A40" s="60"/>
      <c r="B40" s="455">
        <f t="shared" si="18"/>
        <v>2035</v>
      </c>
      <c r="C40" s="456"/>
      <c r="D40" s="449"/>
      <c r="E40" s="449"/>
      <c r="F40" s="450"/>
      <c r="G40" s="252">
        <f t="shared" si="9"/>
        <v>61</v>
      </c>
      <c r="H40" s="253">
        <f t="shared" si="10"/>
        <v>59</v>
      </c>
      <c r="I40" s="253">
        <f t="shared" si="11"/>
        <v>26</v>
      </c>
      <c r="J40" s="253">
        <f t="shared" si="11"/>
        <v>14</v>
      </c>
      <c r="K40" s="254">
        <f t="shared" si="12"/>
        <v>84</v>
      </c>
      <c r="L40" s="275">
        <f t="shared" si="19"/>
        <v>200</v>
      </c>
      <c r="M40" s="263">
        <f t="shared" si="19"/>
        <v>100</v>
      </c>
      <c r="N40" s="259">
        <f>IF($F$18="いいえ",0,シート７!AF49)</f>
        <v>0</v>
      </c>
      <c r="O40" s="262"/>
      <c r="P40" s="261">
        <f t="shared" si="0"/>
        <v>300</v>
      </c>
      <c r="Q40" s="275">
        <f t="shared" si="17"/>
        <v>168</v>
      </c>
      <c r="R40" s="276">
        <f>+シート２!$F$30+S40</f>
        <v>91.063333333333333</v>
      </c>
      <c r="S40" s="277">
        <f>シート２!N39</f>
        <v>5.0633333333333335</v>
      </c>
      <c r="T40" s="277">
        <f>IF($K$18="いいえ",シート７!X49,シート７!J23)</f>
        <v>48</v>
      </c>
      <c r="U40" s="262">
        <f>U39</f>
        <v>36</v>
      </c>
      <c r="V40" s="262">
        <f t="shared" si="15"/>
        <v>36</v>
      </c>
      <c r="W40" s="262"/>
      <c r="X40" s="272">
        <f t="shared" ca="1" si="7"/>
        <v>9</v>
      </c>
      <c r="Y40" s="273">
        <f t="shared" ca="1" si="8"/>
        <v>388.06333333333333</v>
      </c>
      <c r="Z40" s="274">
        <f t="shared" ca="1" si="1"/>
        <v>-88.063333333333333</v>
      </c>
      <c r="AA40" s="264">
        <f t="shared" ca="1" si="2"/>
        <v>-1369.411098166064</v>
      </c>
      <c r="AB40" s="284">
        <f t="shared" ca="1" si="3"/>
        <v>0</v>
      </c>
      <c r="AC40" s="272">
        <f>IF(ISERROR(シート５!H177),"0",ROUND(シート５!H177/10000,0))</f>
        <v>0</v>
      </c>
      <c r="AD40" s="285">
        <f ca="1">IF(シート６!$H$1&lt;2036,ROUND(INDIRECT("シート６!H"&amp;189-(シート６!$H$1-2020)*12)/10000,0),0)</f>
        <v>0</v>
      </c>
      <c r="AE40" s="187"/>
      <c r="AF40" s="175"/>
      <c r="AG40" s="358">
        <f>IF(AC40=0,0,シート５!$E$7)</f>
        <v>0</v>
      </c>
      <c r="AH40" s="358">
        <f ca="1">IF(AD40=0,0,シート６!$E$7)</f>
        <v>0</v>
      </c>
      <c r="AI40" s="359">
        <f t="shared" ca="1" si="4"/>
        <v>0</v>
      </c>
      <c r="AJ40" s="358">
        <f t="shared" ca="1" si="5"/>
        <v>0</v>
      </c>
      <c r="AK40" s="51"/>
      <c r="AL40" s="51"/>
      <c r="AM40" s="51"/>
      <c r="AN40" s="51"/>
      <c r="AO40" s="51"/>
      <c r="AP40" s="51"/>
      <c r="AQ40" s="51"/>
      <c r="AR40" s="51"/>
      <c r="AS40" s="51"/>
      <c r="AT40" s="51"/>
      <c r="AU40" s="51"/>
    </row>
    <row r="41" spans="1:47" ht="19.899999999999999" customHeight="1" x14ac:dyDescent="0.15">
      <c r="A41" s="60"/>
      <c r="B41" s="455">
        <f t="shared" si="18"/>
        <v>2036</v>
      </c>
      <c r="C41" s="456"/>
      <c r="D41" s="449"/>
      <c r="E41" s="449"/>
      <c r="F41" s="450"/>
      <c r="G41" s="252">
        <f t="shared" si="9"/>
        <v>62</v>
      </c>
      <c r="H41" s="253">
        <f t="shared" si="10"/>
        <v>60</v>
      </c>
      <c r="I41" s="253">
        <f t="shared" si="11"/>
        <v>27</v>
      </c>
      <c r="J41" s="253">
        <f t="shared" si="11"/>
        <v>15</v>
      </c>
      <c r="K41" s="254">
        <f t="shared" si="12"/>
        <v>85</v>
      </c>
      <c r="L41" s="275">
        <f t="shared" si="19"/>
        <v>200</v>
      </c>
      <c r="M41" s="263">
        <f t="shared" si="19"/>
        <v>100</v>
      </c>
      <c r="N41" s="259">
        <f>IF($F$18="いいえ",0,シート７!AF50)</f>
        <v>0</v>
      </c>
      <c r="O41" s="262"/>
      <c r="P41" s="261">
        <f t="shared" si="0"/>
        <v>300</v>
      </c>
      <c r="Q41" s="275">
        <f t="shared" si="17"/>
        <v>168</v>
      </c>
      <c r="R41" s="276">
        <f>+シート２!$F$30+S41</f>
        <v>91.063333333333333</v>
      </c>
      <c r="S41" s="277">
        <f>シート２!N40</f>
        <v>5.0633333333333335</v>
      </c>
      <c r="T41" s="277">
        <f>IF($K$18="いいえ",シート７!X50,シート７!J24)</f>
        <v>46</v>
      </c>
      <c r="U41" s="262">
        <f t="shared" si="16"/>
        <v>36</v>
      </c>
      <c r="V41" s="262">
        <f t="shared" si="15"/>
        <v>36</v>
      </c>
      <c r="W41" s="262"/>
      <c r="X41" s="272">
        <f t="shared" ca="1" si="7"/>
        <v>0</v>
      </c>
      <c r="Y41" s="273">
        <f t="shared" ca="1" si="8"/>
        <v>377.06333333333333</v>
      </c>
      <c r="Z41" s="274">
        <f t="shared" ca="1" si="1"/>
        <v>-77.063333333333333</v>
      </c>
      <c r="AA41" s="264">
        <f t="shared" ca="1" si="2"/>
        <v>-1446.4744314993973</v>
      </c>
      <c r="AB41" s="284">
        <f t="shared" ca="1" si="3"/>
        <v>0</v>
      </c>
      <c r="AC41" s="272">
        <f>IF(ISERROR(シート５!H189),"0",ROUND(シート５!H189/10000,0))</f>
        <v>0</v>
      </c>
      <c r="AD41" s="285">
        <f ca="1">IF(シート６!$H$1&lt;2037,ROUND(INDIRECT("シート６!H"&amp;201-(シート６!$H$1-2020)*12)/10000,0),0)</f>
        <v>0</v>
      </c>
      <c r="AE41" s="187"/>
      <c r="AF41" s="175"/>
      <c r="AG41" s="358">
        <f>IF(AC41=0,0,シート５!$E$7)</f>
        <v>0</v>
      </c>
      <c r="AH41" s="358">
        <f ca="1">IF(AD41=0,0,シート６!$E$7)</f>
        <v>0</v>
      </c>
      <c r="AI41" s="359">
        <f t="shared" ca="1" si="4"/>
        <v>0</v>
      </c>
      <c r="AJ41" s="358">
        <f t="shared" ca="1" si="5"/>
        <v>0</v>
      </c>
      <c r="AK41" s="51"/>
      <c r="AL41" s="51"/>
      <c r="AM41" s="51"/>
      <c r="AN41" s="51"/>
      <c r="AO41" s="51"/>
      <c r="AP41" s="51"/>
      <c r="AQ41" s="51"/>
      <c r="AR41" s="51"/>
      <c r="AS41" s="51"/>
      <c r="AT41" s="51"/>
      <c r="AU41" s="51"/>
    </row>
    <row r="42" spans="1:47" ht="19.899999999999999" customHeight="1" x14ac:dyDescent="0.15">
      <c r="A42" s="60"/>
      <c r="B42" s="455">
        <f t="shared" si="18"/>
        <v>2037</v>
      </c>
      <c r="C42" s="456"/>
      <c r="D42" s="449"/>
      <c r="E42" s="449"/>
      <c r="F42" s="450"/>
      <c r="G42" s="252">
        <f t="shared" si="9"/>
        <v>63</v>
      </c>
      <c r="H42" s="253">
        <f t="shared" si="10"/>
        <v>61</v>
      </c>
      <c r="I42" s="253">
        <f t="shared" si="11"/>
        <v>28</v>
      </c>
      <c r="J42" s="253">
        <f t="shared" si="11"/>
        <v>16</v>
      </c>
      <c r="K42" s="254">
        <f t="shared" si="12"/>
        <v>86</v>
      </c>
      <c r="L42" s="275">
        <f t="shared" si="19"/>
        <v>200</v>
      </c>
      <c r="M42" s="263">
        <f t="shared" si="19"/>
        <v>100</v>
      </c>
      <c r="N42" s="259">
        <f>IF($F$18="いいえ",0,シート７!AF51)</f>
        <v>0</v>
      </c>
      <c r="O42" s="262"/>
      <c r="P42" s="261">
        <f t="shared" si="0"/>
        <v>300</v>
      </c>
      <c r="Q42" s="275">
        <f t="shared" ref="Q42:Q50" si="20">Q41</f>
        <v>168</v>
      </c>
      <c r="R42" s="276">
        <f>+シート２!$F$30+S42</f>
        <v>91.063333333333333</v>
      </c>
      <c r="S42" s="277">
        <f>シート２!N41</f>
        <v>5.0633333333333335</v>
      </c>
      <c r="T42" s="277">
        <f>IF($K$18="いいえ",シート７!X51,シート７!J25)</f>
        <v>46</v>
      </c>
      <c r="U42" s="262">
        <f t="shared" si="16"/>
        <v>36</v>
      </c>
      <c r="V42" s="262">
        <f t="shared" si="15"/>
        <v>36</v>
      </c>
      <c r="W42" s="262"/>
      <c r="X42" s="272">
        <f t="shared" ca="1" si="7"/>
        <v>0</v>
      </c>
      <c r="Y42" s="273">
        <f t="shared" ca="1" si="8"/>
        <v>377.06333333333333</v>
      </c>
      <c r="Z42" s="274">
        <f t="shared" ca="1" si="1"/>
        <v>-77.063333333333333</v>
      </c>
      <c r="AA42" s="264">
        <f t="shared" ca="1" si="2"/>
        <v>-1523.5377648327305</v>
      </c>
      <c r="AB42" s="284">
        <f t="shared" ca="1" si="3"/>
        <v>0</v>
      </c>
      <c r="AC42" s="272">
        <f>IF(ISERROR(シート５!H201),"0",ROUND(シート５!H201/10000,0))</f>
        <v>0</v>
      </c>
      <c r="AD42" s="285">
        <f ca="1">IF(シート６!$H$1&lt;2038,ROUND(INDIRECT("シート６!H"&amp;213-(シート６!$H$1-2020)*12)/10000,0),0)</f>
        <v>0</v>
      </c>
      <c r="AE42" s="187"/>
      <c r="AF42" s="175"/>
      <c r="AG42" s="358">
        <f>IF(AC42=0,0,シート５!$E$7)</f>
        <v>0</v>
      </c>
      <c r="AH42" s="358">
        <f ca="1">IF(AD42=0,0,シート６!$E$7)</f>
        <v>0</v>
      </c>
      <c r="AI42" s="359">
        <f t="shared" ca="1" si="4"/>
        <v>0</v>
      </c>
      <c r="AJ42" s="358">
        <f t="shared" ca="1" si="5"/>
        <v>0</v>
      </c>
      <c r="AK42" s="51"/>
      <c r="AL42" s="51"/>
      <c r="AM42" s="51"/>
      <c r="AN42" s="51"/>
      <c r="AO42" s="51"/>
      <c r="AP42" s="51"/>
      <c r="AQ42" s="51"/>
      <c r="AR42" s="51"/>
      <c r="AS42" s="51"/>
      <c r="AT42" s="51"/>
      <c r="AU42" s="51"/>
    </row>
    <row r="43" spans="1:47" ht="19.899999999999999" customHeight="1" x14ac:dyDescent="0.15">
      <c r="A43" s="60"/>
      <c r="B43" s="455">
        <f t="shared" si="18"/>
        <v>2038</v>
      </c>
      <c r="C43" s="456"/>
      <c r="D43" s="449"/>
      <c r="E43" s="449"/>
      <c r="F43" s="450"/>
      <c r="G43" s="252">
        <f t="shared" si="9"/>
        <v>64</v>
      </c>
      <c r="H43" s="253">
        <f t="shared" si="10"/>
        <v>62</v>
      </c>
      <c r="I43" s="253">
        <f t="shared" si="11"/>
        <v>29</v>
      </c>
      <c r="J43" s="253">
        <f t="shared" si="11"/>
        <v>17</v>
      </c>
      <c r="K43" s="254">
        <f t="shared" si="12"/>
        <v>87</v>
      </c>
      <c r="L43" s="275">
        <f t="shared" si="19"/>
        <v>200</v>
      </c>
      <c r="M43" s="263">
        <f t="shared" si="19"/>
        <v>100</v>
      </c>
      <c r="N43" s="259">
        <f>IF($F$18="いいえ",0,シート７!AF52)</f>
        <v>0</v>
      </c>
      <c r="O43" s="262"/>
      <c r="P43" s="261">
        <f t="shared" si="0"/>
        <v>300</v>
      </c>
      <c r="Q43" s="275">
        <f t="shared" si="20"/>
        <v>168</v>
      </c>
      <c r="R43" s="276">
        <f>+シート２!$F$30+S43</f>
        <v>91.063333333333333</v>
      </c>
      <c r="S43" s="277">
        <f>シート２!N42</f>
        <v>5.0633333333333335</v>
      </c>
      <c r="T43" s="277">
        <f>IF($K$18="いいえ",シート７!X52,シート７!J26)</f>
        <v>46</v>
      </c>
      <c r="U43" s="262">
        <f t="shared" si="16"/>
        <v>36</v>
      </c>
      <c r="V43" s="262">
        <f t="shared" si="15"/>
        <v>36</v>
      </c>
      <c r="W43" s="262"/>
      <c r="X43" s="272">
        <f t="shared" ca="1" si="7"/>
        <v>0</v>
      </c>
      <c r="Y43" s="273">
        <f t="shared" ca="1" si="8"/>
        <v>377.06333333333333</v>
      </c>
      <c r="Z43" s="274">
        <f t="shared" ca="1" si="1"/>
        <v>-77.063333333333333</v>
      </c>
      <c r="AA43" s="264">
        <f t="shared" ca="1" si="2"/>
        <v>-1600.6010981660638</v>
      </c>
      <c r="AB43" s="284">
        <f t="shared" ca="1" si="3"/>
        <v>0</v>
      </c>
      <c r="AC43" s="272">
        <f>IF(ISERROR(シート５!H213),"0",ROUND(シート５!H213/10000,0))</f>
        <v>0</v>
      </c>
      <c r="AD43" s="285">
        <f ca="1">IF(シート６!$H$1&lt;2039,ROUND(INDIRECT("シート６!H"&amp;225-(シート６!$H$1-2020)*12)/10000,0),0)</f>
        <v>0</v>
      </c>
      <c r="AE43" s="187"/>
      <c r="AF43" s="175"/>
      <c r="AG43" s="358">
        <f>IF(AC43=0,0,シート５!$E$7)</f>
        <v>0</v>
      </c>
      <c r="AH43" s="358">
        <f ca="1">IF(AD43=0,0,シート６!$E$7)</f>
        <v>0</v>
      </c>
      <c r="AI43" s="359">
        <f t="shared" ca="1" si="4"/>
        <v>0</v>
      </c>
      <c r="AJ43" s="358">
        <f t="shared" ca="1" si="5"/>
        <v>0</v>
      </c>
      <c r="AK43" s="51"/>
      <c r="AL43" s="51"/>
      <c r="AM43" s="51"/>
      <c r="AN43" s="51"/>
      <c r="AO43" s="51"/>
      <c r="AP43" s="51"/>
      <c r="AQ43" s="51"/>
      <c r="AR43" s="51"/>
      <c r="AS43" s="51"/>
      <c r="AT43" s="51"/>
      <c r="AU43" s="51"/>
    </row>
    <row r="44" spans="1:47" ht="19.899999999999999" customHeight="1" x14ac:dyDescent="0.15">
      <c r="A44" s="60"/>
      <c r="B44" s="455">
        <f t="shared" si="18"/>
        <v>2039</v>
      </c>
      <c r="C44" s="456"/>
      <c r="D44" s="449"/>
      <c r="E44" s="449"/>
      <c r="F44" s="450"/>
      <c r="G44" s="252">
        <f t="shared" si="9"/>
        <v>65</v>
      </c>
      <c r="H44" s="253">
        <f t="shared" si="10"/>
        <v>63</v>
      </c>
      <c r="I44" s="253">
        <f t="shared" si="11"/>
        <v>30</v>
      </c>
      <c r="J44" s="253">
        <f t="shared" si="11"/>
        <v>18</v>
      </c>
      <c r="K44" s="254">
        <f t="shared" si="12"/>
        <v>88</v>
      </c>
      <c r="L44" s="275">
        <f t="shared" si="19"/>
        <v>200</v>
      </c>
      <c r="M44" s="263">
        <f t="shared" si="19"/>
        <v>100</v>
      </c>
      <c r="N44" s="259">
        <f>IF($F$18="いいえ",0,シート７!AF53)</f>
        <v>0</v>
      </c>
      <c r="O44" s="262"/>
      <c r="P44" s="261">
        <f t="shared" si="0"/>
        <v>300</v>
      </c>
      <c r="Q44" s="275">
        <f t="shared" si="20"/>
        <v>168</v>
      </c>
      <c r="R44" s="276">
        <f>+シート２!$F$30+S44</f>
        <v>91.063333333333333</v>
      </c>
      <c r="S44" s="277">
        <f>シート２!N43</f>
        <v>5.0633333333333335</v>
      </c>
      <c r="T44" s="277">
        <f>IF($K$18="いいえ",シート７!X53,シート７!J27)</f>
        <v>82</v>
      </c>
      <c r="U44" s="262">
        <f t="shared" si="16"/>
        <v>36</v>
      </c>
      <c r="V44" s="262">
        <f t="shared" si="15"/>
        <v>36</v>
      </c>
      <c r="W44" s="262"/>
      <c r="X44" s="272">
        <f t="shared" ca="1" si="7"/>
        <v>0</v>
      </c>
      <c r="Y44" s="273">
        <f t="shared" ca="1" si="8"/>
        <v>413.06333333333333</v>
      </c>
      <c r="Z44" s="274">
        <f t="shared" ca="1" si="1"/>
        <v>-113.06333333333333</v>
      </c>
      <c r="AA44" s="264">
        <f t="shared" ca="1" si="2"/>
        <v>-1713.6644314993971</v>
      </c>
      <c r="AB44" s="284">
        <f t="shared" ca="1" si="3"/>
        <v>0</v>
      </c>
      <c r="AC44" s="272">
        <f>IF(ISERROR(シート５!H225),"0",ROUND(シート５!H225/10000,0))</f>
        <v>0</v>
      </c>
      <c r="AD44" s="285">
        <f ca="1">IF(シート６!$H$1&lt;2040,ROUND(INDIRECT("シート６!H"&amp;237-(シート６!$H$1-2020)*12)/10000,0),0)</f>
        <v>0</v>
      </c>
      <c r="AE44" s="187"/>
      <c r="AF44" s="175"/>
      <c r="AG44" s="358">
        <f>IF(AC44=0,0,シート５!$E$7)</f>
        <v>0</v>
      </c>
      <c r="AH44" s="358">
        <f ca="1">IF(AD44=0,0,シート６!$E$7)</f>
        <v>0</v>
      </c>
      <c r="AI44" s="359">
        <f t="shared" ca="1" si="4"/>
        <v>0</v>
      </c>
      <c r="AJ44" s="358">
        <f t="shared" ca="1" si="5"/>
        <v>0</v>
      </c>
      <c r="AK44" s="51"/>
      <c r="AL44" s="51"/>
      <c r="AM44" s="51"/>
      <c r="AN44" s="51"/>
      <c r="AO44" s="51"/>
      <c r="AP44" s="51"/>
      <c r="AQ44" s="51"/>
      <c r="AR44" s="51"/>
      <c r="AS44" s="51"/>
      <c r="AT44" s="51"/>
      <c r="AU44" s="51"/>
    </row>
    <row r="45" spans="1:47" ht="19.899999999999999" customHeight="1" x14ac:dyDescent="0.15">
      <c r="A45" s="60"/>
      <c r="B45" s="455">
        <f t="shared" si="18"/>
        <v>2040</v>
      </c>
      <c r="C45" s="456"/>
      <c r="D45" s="449"/>
      <c r="E45" s="449"/>
      <c r="F45" s="450"/>
      <c r="G45" s="252">
        <f t="shared" si="9"/>
        <v>66</v>
      </c>
      <c r="H45" s="253">
        <f t="shared" si="10"/>
        <v>64</v>
      </c>
      <c r="I45" s="253">
        <f t="shared" si="11"/>
        <v>31</v>
      </c>
      <c r="J45" s="253">
        <f t="shared" si="11"/>
        <v>19</v>
      </c>
      <c r="K45" s="254">
        <f t="shared" si="12"/>
        <v>89</v>
      </c>
      <c r="L45" s="275">
        <f t="shared" si="19"/>
        <v>200</v>
      </c>
      <c r="M45" s="263">
        <f t="shared" si="19"/>
        <v>100</v>
      </c>
      <c r="N45" s="259">
        <f>IF($F$18="いいえ",0,シート７!AF54)</f>
        <v>0</v>
      </c>
      <c r="O45" s="262"/>
      <c r="P45" s="261">
        <f t="shared" si="0"/>
        <v>300</v>
      </c>
      <c r="Q45" s="275">
        <f t="shared" si="20"/>
        <v>168</v>
      </c>
      <c r="R45" s="276">
        <f>+シート２!$F$30+S45</f>
        <v>91.063333333333333</v>
      </c>
      <c r="S45" s="277">
        <f>シート２!N44</f>
        <v>5.0633333333333335</v>
      </c>
      <c r="T45" s="277">
        <f>IF($K$18="いいえ",シート７!X54,シート７!J28)</f>
        <v>54</v>
      </c>
      <c r="U45" s="262">
        <f t="shared" si="16"/>
        <v>36</v>
      </c>
      <c r="V45" s="262">
        <f t="shared" si="15"/>
        <v>36</v>
      </c>
      <c r="W45" s="262"/>
      <c r="X45" s="272">
        <f t="shared" ca="1" si="7"/>
        <v>0</v>
      </c>
      <c r="Y45" s="273">
        <f t="shared" ca="1" si="8"/>
        <v>385.06333333333333</v>
      </c>
      <c r="Z45" s="274">
        <f t="shared" ca="1" si="1"/>
        <v>-85.063333333333333</v>
      </c>
      <c r="AA45" s="264">
        <f t="shared" ca="1" si="2"/>
        <v>-1798.7277648327304</v>
      </c>
      <c r="AB45" s="284">
        <f t="shared" ref="AB45:AB50" ca="1" si="21">SUM(AC45:AD45)</f>
        <v>0</v>
      </c>
      <c r="AC45" s="272">
        <f>IF(ISERROR(シート５!H237),"0",ROUND(シート５!H237/10000,0))</f>
        <v>0</v>
      </c>
      <c r="AD45" s="285">
        <f ca="1">IF(シート６!$H$1&lt;2041,ROUND(INDIRECT("シート６!H"&amp;249-(シート６!$H$1-2020)*12)/10000,0),0)</f>
        <v>0</v>
      </c>
      <c r="AE45" s="187"/>
      <c r="AF45" s="175"/>
      <c r="AG45" s="358">
        <f>IF(AC45=0,0,シート５!$E$7)</f>
        <v>0</v>
      </c>
      <c r="AH45" s="358">
        <f ca="1">IF(AD45=0,0,シート６!$E$7)</f>
        <v>0</v>
      </c>
      <c r="AI45" s="359">
        <f t="shared" ca="1" si="4"/>
        <v>0</v>
      </c>
      <c r="AJ45" s="358">
        <f t="shared" ref="AJ45:AJ50" ca="1" si="22">IF(ISERROR((AG45+AH45)/10000*12)," ",(AG45+AH45)/10000*12)</f>
        <v>0</v>
      </c>
      <c r="AK45" s="51"/>
      <c r="AL45" s="51"/>
      <c r="AM45" s="51"/>
      <c r="AN45" s="51"/>
      <c r="AO45" s="51"/>
      <c r="AP45" s="51"/>
      <c r="AQ45" s="51"/>
      <c r="AR45" s="51"/>
      <c r="AS45" s="51"/>
      <c r="AT45" s="51"/>
      <c r="AU45" s="51"/>
    </row>
    <row r="46" spans="1:47" ht="19.899999999999999" customHeight="1" x14ac:dyDescent="0.15">
      <c r="A46" s="60"/>
      <c r="B46" s="455">
        <f t="shared" si="18"/>
        <v>2041</v>
      </c>
      <c r="C46" s="456"/>
      <c r="D46" s="449"/>
      <c r="E46" s="449"/>
      <c r="F46" s="450"/>
      <c r="G46" s="252">
        <f t="shared" si="9"/>
        <v>67</v>
      </c>
      <c r="H46" s="253">
        <f t="shared" si="10"/>
        <v>65</v>
      </c>
      <c r="I46" s="253">
        <f t="shared" si="11"/>
        <v>32</v>
      </c>
      <c r="J46" s="253">
        <f t="shared" si="11"/>
        <v>20</v>
      </c>
      <c r="K46" s="254">
        <f t="shared" si="12"/>
        <v>90</v>
      </c>
      <c r="L46" s="275">
        <f>L45</f>
        <v>200</v>
      </c>
      <c r="M46" s="263">
        <f t="shared" ref="L46:M50" si="23">M45</f>
        <v>100</v>
      </c>
      <c r="N46" s="259">
        <f>IF($F$18="いいえ",0,シート７!AF55)</f>
        <v>0</v>
      </c>
      <c r="O46" s="262"/>
      <c r="P46" s="261">
        <f t="shared" si="0"/>
        <v>300</v>
      </c>
      <c r="Q46" s="275">
        <f t="shared" si="20"/>
        <v>168</v>
      </c>
      <c r="R46" s="276">
        <f>+シート２!$F$30+S46</f>
        <v>91.063333333333333</v>
      </c>
      <c r="S46" s="277">
        <f>シート２!N45</f>
        <v>5.0633333333333335</v>
      </c>
      <c r="T46" s="277">
        <f>IF($K$18="いいえ",シート７!X55,シート７!J29)</f>
        <v>54</v>
      </c>
      <c r="U46" s="262">
        <f t="shared" si="16"/>
        <v>36</v>
      </c>
      <c r="V46" s="262">
        <f t="shared" si="15"/>
        <v>36</v>
      </c>
      <c r="W46" s="262"/>
      <c r="X46" s="272">
        <f t="shared" ca="1" si="7"/>
        <v>0</v>
      </c>
      <c r="Y46" s="273">
        <f t="shared" ca="1" si="8"/>
        <v>385.06333333333333</v>
      </c>
      <c r="Z46" s="274">
        <f t="shared" ca="1" si="1"/>
        <v>-85.063333333333333</v>
      </c>
      <c r="AA46" s="264">
        <f t="shared" ca="1" si="2"/>
        <v>-1883.7910981660636</v>
      </c>
      <c r="AB46" s="284">
        <f t="shared" ca="1" si="21"/>
        <v>0</v>
      </c>
      <c r="AC46" s="272">
        <f>IF(ISERROR(シート５!H249),"0",ROUND(シート５!H249/10000,0))</f>
        <v>0</v>
      </c>
      <c r="AD46" s="285">
        <f ca="1">IF(シート６!$H$1&lt;2042,ROUND(INDIRECT("シート６!H"&amp;261-(シート６!$H$1-2020)*12)/10000,0),0)</f>
        <v>0</v>
      </c>
      <c r="AE46" s="187"/>
      <c r="AF46" s="175"/>
      <c r="AG46" s="358">
        <f>IF(AC46=0,0,シート５!$E$7)</f>
        <v>0</v>
      </c>
      <c r="AH46" s="358">
        <f ca="1">IF(AD46=0,0,シート６!$E$7)</f>
        <v>0</v>
      </c>
      <c r="AI46" s="359">
        <f t="shared" ca="1" si="4"/>
        <v>0</v>
      </c>
      <c r="AJ46" s="358">
        <f t="shared" ca="1" si="22"/>
        <v>0</v>
      </c>
      <c r="AK46" s="51"/>
      <c r="AL46" s="51"/>
      <c r="AM46" s="51"/>
      <c r="AN46" s="51"/>
      <c r="AO46" s="51"/>
      <c r="AP46" s="51"/>
      <c r="AQ46" s="51"/>
      <c r="AR46" s="51"/>
      <c r="AS46" s="51"/>
      <c r="AT46" s="51"/>
      <c r="AU46" s="51"/>
    </row>
    <row r="47" spans="1:47" ht="19.899999999999999" customHeight="1" x14ac:dyDescent="0.15">
      <c r="A47" s="60"/>
      <c r="B47" s="455">
        <f t="shared" si="18"/>
        <v>2042</v>
      </c>
      <c r="C47" s="456"/>
      <c r="D47" s="449"/>
      <c r="E47" s="449"/>
      <c r="F47" s="450"/>
      <c r="G47" s="252">
        <f t="shared" si="9"/>
        <v>68</v>
      </c>
      <c r="H47" s="253">
        <f t="shared" si="10"/>
        <v>66</v>
      </c>
      <c r="I47" s="253">
        <f t="shared" si="11"/>
        <v>33</v>
      </c>
      <c r="J47" s="253">
        <f t="shared" si="11"/>
        <v>21</v>
      </c>
      <c r="K47" s="254">
        <f t="shared" si="12"/>
        <v>91</v>
      </c>
      <c r="L47" s="275">
        <f t="shared" si="23"/>
        <v>200</v>
      </c>
      <c r="M47" s="263">
        <f t="shared" si="23"/>
        <v>100</v>
      </c>
      <c r="N47" s="259">
        <f>IF($F$18="いいえ",0,シート７!AF56)</f>
        <v>0</v>
      </c>
      <c r="O47" s="262"/>
      <c r="P47" s="261">
        <f t="shared" si="0"/>
        <v>300</v>
      </c>
      <c r="Q47" s="275">
        <f t="shared" si="20"/>
        <v>168</v>
      </c>
      <c r="R47" s="276">
        <f>+シート２!$F$30+S47</f>
        <v>91.063333333333333</v>
      </c>
      <c r="S47" s="277">
        <f>シート２!N46</f>
        <v>5.0633333333333335</v>
      </c>
      <c r="T47" s="277">
        <f>IF($K$18="いいえ",シート７!X56,シート７!J30)</f>
        <v>54</v>
      </c>
      <c r="U47" s="262">
        <f t="shared" si="16"/>
        <v>36</v>
      </c>
      <c r="V47" s="262">
        <f t="shared" si="15"/>
        <v>36</v>
      </c>
      <c r="W47" s="262"/>
      <c r="X47" s="272">
        <f t="shared" ca="1" si="7"/>
        <v>0</v>
      </c>
      <c r="Y47" s="273">
        <f t="shared" ca="1" si="8"/>
        <v>385.06333333333333</v>
      </c>
      <c r="Z47" s="274">
        <f t="shared" ca="1" si="1"/>
        <v>-85.063333333333333</v>
      </c>
      <c r="AA47" s="264">
        <f t="shared" ca="1" si="2"/>
        <v>-1968.8544314993969</v>
      </c>
      <c r="AB47" s="284">
        <f t="shared" ca="1" si="21"/>
        <v>0</v>
      </c>
      <c r="AC47" s="272">
        <f>IF(ISERROR(シート５!H261),"0",ROUND(シート５!H261/10000,0))</f>
        <v>0</v>
      </c>
      <c r="AD47" s="285">
        <f ca="1">IF(シート６!$H$1&lt;2043,ROUND(INDIRECT("シート６!H"&amp;273-(シート６!$H$1-2020)*12)/10000,0),0)</f>
        <v>0</v>
      </c>
      <c r="AE47" s="187"/>
      <c r="AF47" s="175"/>
      <c r="AG47" s="358">
        <f>IF(AC47=0,0,シート５!$E$7)</f>
        <v>0</v>
      </c>
      <c r="AH47" s="358">
        <f ca="1">IF(AD47=0,0,シート６!$E$7)</f>
        <v>0</v>
      </c>
      <c r="AI47" s="359">
        <f t="shared" ca="1" si="4"/>
        <v>0</v>
      </c>
      <c r="AJ47" s="358">
        <f t="shared" ca="1" si="22"/>
        <v>0</v>
      </c>
      <c r="AK47" s="51"/>
      <c r="AL47" s="51"/>
      <c r="AM47" s="51"/>
      <c r="AN47" s="51"/>
      <c r="AO47" s="51"/>
      <c r="AP47" s="51"/>
      <c r="AQ47" s="51"/>
      <c r="AR47" s="51"/>
      <c r="AS47" s="51"/>
      <c r="AT47" s="51"/>
      <c r="AU47" s="51"/>
    </row>
    <row r="48" spans="1:47" ht="19.899999999999999" customHeight="1" x14ac:dyDescent="0.15">
      <c r="A48" s="60"/>
      <c r="B48" s="455">
        <f t="shared" si="18"/>
        <v>2043</v>
      </c>
      <c r="C48" s="456"/>
      <c r="D48" s="449"/>
      <c r="E48" s="449"/>
      <c r="F48" s="450"/>
      <c r="G48" s="252">
        <f t="shared" si="9"/>
        <v>69</v>
      </c>
      <c r="H48" s="253">
        <f t="shared" si="10"/>
        <v>67</v>
      </c>
      <c r="I48" s="253">
        <f t="shared" si="11"/>
        <v>34</v>
      </c>
      <c r="J48" s="253">
        <f t="shared" si="11"/>
        <v>22</v>
      </c>
      <c r="K48" s="254">
        <f t="shared" si="12"/>
        <v>92</v>
      </c>
      <c r="L48" s="275">
        <f>L47</f>
        <v>200</v>
      </c>
      <c r="M48" s="263">
        <f t="shared" si="23"/>
        <v>100</v>
      </c>
      <c r="N48" s="259">
        <f>IF($F$18="いいえ",0,シート７!AF57)</f>
        <v>0</v>
      </c>
      <c r="O48" s="262"/>
      <c r="P48" s="261">
        <f t="shared" si="0"/>
        <v>300</v>
      </c>
      <c r="Q48" s="275">
        <f t="shared" si="20"/>
        <v>168</v>
      </c>
      <c r="R48" s="276">
        <f>+シート２!$F$30+S48</f>
        <v>91.063333333333333</v>
      </c>
      <c r="S48" s="277">
        <f>シート２!N47</f>
        <v>5.0633333333333335</v>
      </c>
      <c r="T48" s="277">
        <f>IF($K$18="いいえ",シート７!X57,シート７!J31)</f>
        <v>0</v>
      </c>
      <c r="U48" s="262">
        <f t="shared" si="16"/>
        <v>36</v>
      </c>
      <c r="V48" s="262">
        <f>V47</f>
        <v>36</v>
      </c>
      <c r="W48" s="262"/>
      <c r="X48" s="272">
        <f t="shared" ca="1" si="7"/>
        <v>0</v>
      </c>
      <c r="Y48" s="273">
        <f t="shared" ca="1" si="8"/>
        <v>331.06333333333333</v>
      </c>
      <c r="Z48" s="274">
        <f t="shared" ca="1" si="1"/>
        <v>-31.063333333333333</v>
      </c>
      <c r="AA48" s="264">
        <f t="shared" ca="1" si="2"/>
        <v>-1999.9177648327302</v>
      </c>
      <c r="AB48" s="284">
        <f t="shared" ca="1" si="21"/>
        <v>0</v>
      </c>
      <c r="AC48" s="272">
        <f>IF(ISERROR(シート５!H273),"0",ROUND(シート５!H273/10000,0))</f>
        <v>0</v>
      </c>
      <c r="AD48" s="285">
        <f ca="1">IF(シート６!$H$1&lt;2044,ROUND(INDIRECT("シート６!H"&amp;285-(シート６!$H$1-2020)*12)/10000,0),0)</f>
        <v>0</v>
      </c>
      <c r="AE48" s="187"/>
      <c r="AF48" s="175"/>
      <c r="AG48" s="358">
        <f>IF(AC48=0,0,シート５!$E$7)</f>
        <v>0</v>
      </c>
      <c r="AH48" s="358">
        <f ca="1">IF(AD48=0,0,シート６!$E$7)</f>
        <v>0</v>
      </c>
      <c r="AI48" s="359">
        <f t="shared" ca="1" si="4"/>
        <v>0</v>
      </c>
      <c r="AJ48" s="358">
        <f t="shared" ca="1" si="22"/>
        <v>0</v>
      </c>
      <c r="AK48" s="51"/>
      <c r="AL48" s="51"/>
      <c r="AM48" s="51"/>
      <c r="AN48" s="51"/>
      <c r="AO48" s="51"/>
      <c r="AP48" s="51"/>
      <c r="AQ48" s="51"/>
      <c r="AR48" s="51"/>
      <c r="AS48" s="51"/>
      <c r="AT48" s="51"/>
      <c r="AU48" s="51"/>
    </row>
    <row r="49" spans="1:47" ht="19.899999999999999" customHeight="1" x14ac:dyDescent="0.15">
      <c r="A49" s="60"/>
      <c r="B49" s="455">
        <f t="shared" si="18"/>
        <v>2044</v>
      </c>
      <c r="C49" s="456"/>
      <c r="D49" s="449"/>
      <c r="E49" s="449"/>
      <c r="F49" s="450"/>
      <c r="G49" s="252">
        <f t="shared" si="9"/>
        <v>70</v>
      </c>
      <c r="H49" s="253">
        <f t="shared" si="10"/>
        <v>68</v>
      </c>
      <c r="I49" s="253">
        <f t="shared" si="11"/>
        <v>35</v>
      </c>
      <c r="J49" s="253">
        <f t="shared" si="11"/>
        <v>23</v>
      </c>
      <c r="K49" s="254">
        <f t="shared" si="12"/>
        <v>93</v>
      </c>
      <c r="L49" s="275">
        <f t="shared" si="23"/>
        <v>200</v>
      </c>
      <c r="M49" s="263">
        <f t="shared" si="23"/>
        <v>100</v>
      </c>
      <c r="N49" s="259">
        <f>IF($F$18="いいえ",0,シート７!AF58)</f>
        <v>0</v>
      </c>
      <c r="O49" s="262"/>
      <c r="P49" s="261">
        <f t="shared" si="0"/>
        <v>300</v>
      </c>
      <c r="Q49" s="275">
        <f t="shared" si="20"/>
        <v>168</v>
      </c>
      <c r="R49" s="276">
        <f>+シート２!$F$30+S49</f>
        <v>91.063333333333333</v>
      </c>
      <c r="S49" s="277">
        <f>シート２!N48</f>
        <v>5.0633333333333335</v>
      </c>
      <c r="T49" s="277">
        <f>IF($K$18="いいえ",シート７!X58,シート７!J32)</f>
        <v>0</v>
      </c>
      <c r="U49" s="262">
        <f t="shared" si="16"/>
        <v>36</v>
      </c>
      <c r="V49" s="262">
        <f>V48</f>
        <v>36</v>
      </c>
      <c r="W49" s="262"/>
      <c r="X49" s="272">
        <f t="shared" ca="1" si="7"/>
        <v>0</v>
      </c>
      <c r="Y49" s="273">
        <f t="shared" ca="1" si="8"/>
        <v>331.06333333333333</v>
      </c>
      <c r="Z49" s="274">
        <f t="shared" ca="1" si="1"/>
        <v>-31.063333333333333</v>
      </c>
      <c r="AA49" s="264">
        <f t="shared" ca="1" si="2"/>
        <v>-2030.9810981660635</v>
      </c>
      <c r="AB49" s="284">
        <f t="shared" ca="1" si="21"/>
        <v>0</v>
      </c>
      <c r="AC49" s="272">
        <f>IF(ISERROR(シート５!H285),"0",ROUND(シート５!H285/10000,0))</f>
        <v>0</v>
      </c>
      <c r="AD49" s="285">
        <f ca="1">IF(シート６!$H$1&lt;2045,ROUND(INDIRECT("シート６!H"&amp;297-(シート６!$H$1-2020)*12)/10000,0),0)</f>
        <v>0</v>
      </c>
      <c r="AE49" s="187"/>
      <c r="AF49" s="175"/>
      <c r="AG49" s="358">
        <f>IF(AC49=0,0,シート５!$E$7)</f>
        <v>0</v>
      </c>
      <c r="AH49" s="358">
        <f ca="1">IF(AD49=0,0,シート６!$E$7)</f>
        <v>0</v>
      </c>
      <c r="AI49" s="359">
        <f t="shared" ca="1" si="4"/>
        <v>0</v>
      </c>
      <c r="AJ49" s="358">
        <f t="shared" ca="1" si="22"/>
        <v>0</v>
      </c>
      <c r="AK49" s="51"/>
      <c r="AL49" s="51"/>
      <c r="AM49" s="51"/>
      <c r="AN49" s="51"/>
      <c r="AO49" s="51"/>
      <c r="AP49" s="51"/>
      <c r="AQ49" s="51"/>
      <c r="AR49" s="51"/>
      <c r="AS49" s="51"/>
      <c r="AT49" s="51"/>
      <c r="AU49" s="51"/>
    </row>
    <row r="50" spans="1:47" ht="19.899999999999999" customHeight="1" thickBot="1" x14ac:dyDescent="0.2">
      <c r="A50" s="60"/>
      <c r="B50" s="455">
        <f t="shared" si="18"/>
        <v>2045</v>
      </c>
      <c r="C50" s="456"/>
      <c r="D50" s="447"/>
      <c r="E50" s="447"/>
      <c r="F50" s="448"/>
      <c r="G50" s="255">
        <f t="shared" si="9"/>
        <v>71</v>
      </c>
      <c r="H50" s="256">
        <f t="shared" si="10"/>
        <v>69</v>
      </c>
      <c r="I50" s="256">
        <f t="shared" si="11"/>
        <v>36</v>
      </c>
      <c r="J50" s="256">
        <f t="shared" si="11"/>
        <v>24</v>
      </c>
      <c r="K50" s="257">
        <f t="shared" si="12"/>
        <v>94</v>
      </c>
      <c r="L50" s="278">
        <f t="shared" si="23"/>
        <v>200</v>
      </c>
      <c r="M50" s="267">
        <f t="shared" si="23"/>
        <v>100</v>
      </c>
      <c r="N50" s="299">
        <f>IF($F$18="いいえ",0,シート７!AF59)</f>
        <v>0</v>
      </c>
      <c r="O50" s="266"/>
      <c r="P50" s="300">
        <f t="shared" si="0"/>
        <v>300</v>
      </c>
      <c r="Q50" s="278">
        <f t="shared" si="20"/>
        <v>168</v>
      </c>
      <c r="R50" s="279">
        <f>+シート２!$F$30+S50</f>
        <v>91.063333333333333</v>
      </c>
      <c r="S50" s="280">
        <f>シート２!N49</f>
        <v>5.0633333333333335</v>
      </c>
      <c r="T50" s="280">
        <f>IF($K$18="いいえ",シート７!X59,シート７!J33)</f>
        <v>0</v>
      </c>
      <c r="U50" s="266">
        <f t="shared" si="16"/>
        <v>36</v>
      </c>
      <c r="V50" s="266">
        <f t="shared" si="15"/>
        <v>36</v>
      </c>
      <c r="W50" s="267"/>
      <c r="X50" s="281">
        <f t="shared" ca="1" si="7"/>
        <v>0</v>
      </c>
      <c r="Y50" s="282">
        <f t="shared" ca="1" si="8"/>
        <v>331.06333333333333</v>
      </c>
      <c r="Z50" s="283">
        <f t="shared" ca="1" si="1"/>
        <v>-31.063333333333333</v>
      </c>
      <c r="AA50" s="268">
        <f t="shared" ca="1" si="2"/>
        <v>-2062.044431499397</v>
      </c>
      <c r="AB50" s="286">
        <f t="shared" ca="1" si="21"/>
        <v>0</v>
      </c>
      <c r="AC50" s="287">
        <f>IF(ISERROR(シート５!H297),"0",ROUND(シート５!H297/10000,0))</f>
        <v>0</v>
      </c>
      <c r="AD50" s="288">
        <f ca="1">IF(シート６!$H$1&lt;2046,ROUND(INDIRECT("シート６!H"&amp;309-(シート６!$H$1-2020)*12)/10000,0),0)</f>
        <v>0</v>
      </c>
      <c r="AE50" s="187"/>
      <c r="AF50" s="175"/>
      <c r="AG50" s="358">
        <f>IF(AC50=0,0,シート５!$E$7)</f>
        <v>0</v>
      </c>
      <c r="AH50" s="358">
        <f ca="1">IF(AD50=0,0,シート６!$E$7)</f>
        <v>0</v>
      </c>
      <c r="AI50" s="360">
        <f t="shared" ca="1" si="4"/>
        <v>0</v>
      </c>
      <c r="AJ50" s="358">
        <f t="shared" ca="1" si="22"/>
        <v>0</v>
      </c>
      <c r="AK50" s="51"/>
      <c r="AL50" s="51"/>
      <c r="AM50" s="51"/>
      <c r="AN50" s="51"/>
      <c r="AO50" s="51"/>
      <c r="AP50" s="51"/>
      <c r="AQ50" s="51"/>
      <c r="AR50" s="51"/>
      <c r="AS50" s="51"/>
      <c r="AT50" s="51"/>
      <c r="AU50" s="51"/>
    </row>
    <row r="51" spans="1:47" ht="14.25" thickBot="1" x14ac:dyDescent="0.2">
      <c r="A51" s="72"/>
      <c r="B51" s="189"/>
      <c r="C51" s="189"/>
      <c r="D51" s="189"/>
      <c r="E51" s="189"/>
      <c r="F51" s="189"/>
      <c r="G51" s="189"/>
      <c r="H51" s="189"/>
      <c r="I51" s="189"/>
      <c r="J51" s="189"/>
      <c r="K51" s="189"/>
      <c r="L51" s="189"/>
      <c r="M51" s="189"/>
      <c r="N51" s="189"/>
      <c r="O51" s="189"/>
      <c r="P51" s="189"/>
      <c r="Q51" s="189"/>
      <c r="R51" s="189"/>
      <c r="S51" s="189"/>
      <c r="T51" s="189"/>
      <c r="U51" s="189"/>
      <c r="V51" s="189"/>
      <c r="W51" s="189"/>
      <c r="X51" s="189"/>
      <c r="Y51" s="189"/>
      <c r="Z51" s="212"/>
      <c r="AA51" s="212"/>
      <c r="AB51" s="212"/>
      <c r="AC51" s="189"/>
      <c r="AD51" s="177"/>
      <c r="AE51" s="188"/>
      <c r="AF51" s="51"/>
      <c r="AG51" s="51"/>
      <c r="AH51" s="51"/>
      <c r="AI51" s="51"/>
      <c r="AJ51" s="51"/>
      <c r="AK51" s="51"/>
      <c r="AL51" s="51"/>
      <c r="AM51" s="51"/>
      <c r="AN51" s="51"/>
      <c r="AO51" s="51"/>
      <c r="AP51" s="51"/>
      <c r="AQ51" s="51"/>
      <c r="AR51" s="51"/>
      <c r="AS51" s="51"/>
      <c r="AT51" s="51"/>
      <c r="AU51" s="51"/>
    </row>
    <row r="52" spans="1:47" x14ac:dyDescent="0.15">
      <c r="AF52" s="51"/>
      <c r="AG52" s="51"/>
      <c r="AH52" s="51"/>
      <c r="AI52" s="51"/>
      <c r="AJ52" s="51"/>
      <c r="AK52" s="51"/>
      <c r="AL52" s="51"/>
      <c r="AM52" s="51"/>
      <c r="AN52" s="51"/>
      <c r="AO52" s="51"/>
      <c r="AP52" s="51"/>
      <c r="AQ52" s="51"/>
      <c r="AR52" s="51"/>
      <c r="AS52" s="51"/>
      <c r="AT52" s="51"/>
      <c r="AU52" s="51"/>
    </row>
    <row r="53" spans="1:47" x14ac:dyDescent="0.15">
      <c r="AF53" s="51"/>
      <c r="AG53" s="51"/>
      <c r="AH53" s="51" t="s">
        <v>277</v>
      </c>
      <c r="AI53" s="51"/>
      <c r="AJ53" s="51"/>
      <c r="AK53" s="51"/>
      <c r="AL53" s="51"/>
      <c r="AM53" s="51"/>
      <c r="AN53" s="51"/>
      <c r="AO53" s="51"/>
      <c r="AP53" s="51"/>
      <c r="AQ53" s="51"/>
      <c r="AR53" s="51"/>
      <c r="AS53" s="51"/>
      <c r="AT53" s="51"/>
      <c r="AU53" s="51"/>
    </row>
    <row r="54" spans="1:47" x14ac:dyDescent="0.15">
      <c r="AF54" s="51"/>
      <c r="AG54" s="51"/>
      <c r="AH54" s="51" t="s">
        <v>278</v>
      </c>
      <c r="AI54" s="51"/>
      <c r="AJ54" s="51"/>
      <c r="AK54" s="51"/>
      <c r="AL54" s="51"/>
      <c r="AM54" s="51"/>
      <c r="AN54" s="51"/>
      <c r="AO54" s="51"/>
      <c r="AP54" s="51"/>
      <c r="AQ54" s="51"/>
      <c r="AR54" s="51"/>
      <c r="AS54" s="51"/>
      <c r="AT54" s="51"/>
      <c r="AU54" s="51"/>
    </row>
    <row r="55" spans="1:47" x14ac:dyDescent="0.15">
      <c r="AF55" s="51"/>
      <c r="AG55" s="51"/>
      <c r="AH55" s="51"/>
      <c r="AI55" s="51"/>
      <c r="AJ55" s="51"/>
      <c r="AK55" s="51"/>
      <c r="AL55" s="51"/>
      <c r="AM55" s="51"/>
      <c r="AN55" s="51"/>
      <c r="AO55" s="51"/>
      <c r="AP55" s="51"/>
      <c r="AQ55" s="51"/>
      <c r="AR55" s="51"/>
      <c r="AS55" s="51"/>
      <c r="AT55" s="51"/>
      <c r="AU55" s="51"/>
    </row>
    <row r="56" spans="1:47" x14ac:dyDescent="0.15">
      <c r="AF56" s="51"/>
      <c r="AG56" s="51"/>
      <c r="AH56" s="51"/>
      <c r="AI56" s="51"/>
      <c r="AJ56" s="51"/>
      <c r="AK56" s="51"/>
      <c r="AL56" s="51"/>
      <c r="AM56" s="51"/>
      <c r="AN56" s="51"/>
      <c r="AO56" s="51"/>
      <c r="AP56" s="51"/>
      <c r="AQ56" s="51"/>
      <c r="AR56" s="51"/>
      <c r="AS56" s="51"/>
      <c r="AT56" s="51"/>
      <c r="AU56" s="51"/>
    </row>
    <row r="57" spans="1:47" x14ac:dyDescent="0.15">
      <c r="AF57" s="51"/>
      <c r="AG57" s="51"/>
      <c r="AH57" s="51"/>
      <c r="AI57" s="51"/>
      <c r="AJ57" s="51"/>
      <c r="AK57" s="51"/>
      <c r="AL57" s="51"/>
      <c r="AM57" s="51"/>
      <c r="AN57" s="51"/>
      <c r="AO57" s="51"/>
      <c r="AP57" s="51"/>
      <c r="AQ57" s="51"/>
      <c r="AR57" s="51"/>
      <c r="AS57" s="51"/>
      <c r="AT57" s="51"/>
      <c r="AU57" s="51"/>
    </row>
    <row r="58" spans="1:47" x14ac:dyDescent="0.15">
      <c r="AF58" s="51"/>
      <c r="AG58" s="51"/>
      <c r="AH58" s="51"/>
      <c r="AI58" s="51"/>
      <c r="AJ58" s="51"/>
      <c r="AK58" s="51"/>
      <c r="AL58" s="51"/>
      <c r="AM58" s="51"/>
      <c r="AN58" s="51"/>
      <c r="AO58" s="51"/>
      <c r="AP58" s="51"/>
      <c r="AQ58" s="51"/>
      <c r="AR58" s="51"/>
      <c r="AS58" s="51"/>
      <c r="AT58" s="51"/>
      <c r="AU58" s="51"/>
    </row>
    <row r="59" spans="1:47" x14ac:dyDescent="0.15">
      <c r="AF59" s="51"/>
      <c r="AG59" s="51"/>
      <c r="AH59" s="51"/>
      <c r="AI59" s="51"/>
      <c r="AJ59" s="51"/>
      <c r="AK59" s="51"/>
      <c r="AL59" s="51"/>
      <c r="AM59" s="51"/>
      <c r="AN59" s="51"/>
      <c r="AO59" s="51"/>
      <c r="AP59" s="51"/>
      <c r="AQ59" s="51"/>
      <c r="AR59" s="51"/>
      <c r="AS59" s="51"/>
      <c r="AT59" s="51"/>
      <c r="AU59" s="51"/>
    </row>
    <row r="60" spans="1:47" x14ac:dyDescent="0.15">
      <c r="AF60" s="51"/>
      <c r="AG60" s="51"/>
      <c r="AH60" s="51"/>
      <c r="AI60" s="51"/>
      <c r="AJ60" s="51"/>
      <c r="AK60" s="51"/>
      <c r="AL60" s="51"/>
      <c r="AM60" s="51"/>
      <c r="AN60" s="51"/>
      <c r="AO60" s="51"/>
      <c r="AP60" s="51"/>
      <c r="AQ60" s="51"/>
      <c r="AR60" s="51"/>
      <c r="AS60" s="51"/>
      <c r="AT60" s="51"/>
      <c r="AU60" s="51"/>
    </row>
    <row r="61" spans="1:47" x14ac:dyDescent="0.15">
      <c r="AF61" s="51"/>
      <c r="AG61" s="51"/>
      <c r="AH61" s="51"/>
      <c r="AI61" s="51"/>
      <c r="AJ61" s="51"/>
      <c r="AK61" s="51"/>
      <c r="AL61" s="51"/>
      <c r="AM61" s="51"/>
      <c r="AN61" s="51"/>
      <c r="AO61" s="51"/>
      <c r="AP61" s="51"/>
      <c r="AQ61" s="51"/>
      <c r="AR61" s="51"/>
      <c r="AS61" s="51"/>
      <c r="AT61" s="51"/>
      <c r="AU61" s="51"/>
    </row>
    <row r="62" spans="1:47" x14ac:dyDescent="0.15">
      <c r="AF62" s="51"/>
      <c r="AG62" s="51"/>
      <c r="AH62" s="51"/>
      <c r="AI62" s="51"/>
      <c r="AJ62" s="51"/>
      <c r="AK62" s="51"/>
      <c r="AL62" s="51"/>
      <c r="AM62" s="51"/>
      <c r="AN62" s="51"/>
      <c r="AO62" s="51"/>
      <c r="AP62" s="51"/>
      <c r="AQ62" s="51"/>
      <c r="AR62" s="51"/>
      <c r="AS62" s="51"/>
      <c r="AT62" s="51"/>
      <c r="AU62" s="51"/>
    </row>
    <row r="63" spans="1:47" x14ac:dyDescent="0.15">
      <c r="AF63" s="51"/>
      <c r="AG63" s="51"/>
      <c r="AH63" s="51"/>
      <c r="AI63" s="51"/>
      <c r="AJ63" s="51"/>
      <c r="AK63" s="51"/>
      <c r="AL63" s="51"/>
      <c r="AM63" s="51"/>
      <c r="AN63" s="51"/>
      <c r="AO63" s="51"/>
      <c r="AP63" s="51"/>
      <c r="AQ63" s="51"/>
      <c r="AR63" s="51"/>
      <c r="AS63" s="51"/>
      <c r="AT63" s="51"/>
      <c r="AU63" s="51"/>
    </row>
    <row r="64" spans="1:47" x14ac:dyDescent="0.15">
      <c r="AF64" s="51"/>
      <c r="AG64" s="51"/>
      <c r="AH64" s="51"/>
      <c r="AI64" s="51"/>
      <c r="AJ64" s="51"/>
      <c r="AK64" s="51"/>
      <c r="AL64" s="51"/>
      <c r="AM64" s="51"/>
      <c r="AN64" s="51"/>
      <c r="AO64" s="51"/>
      <c r="AP64" s="51"/>
      <c r="AQ64" s="51"/>
      <c r="AR64" s="51"/>
      <c r="AS64" s="51"/>
      <c r="AT64" s="51"/>
      <c r="AU64" s="51"/>
    </row>
    <row r="65" spans="32:47" x14ac:dyDescent="0.15">
      <c r="AF65" s="51"/>
      <c r="AG65" s="51"/>
      <c r="AH65" s="51"/>
      <c r="AI65" s="51"/>
      <c r="AJ65" s="51"/>
      <c r="AK65" s="51"/>
      <c r="AL65" s="51"/>
      <c r="AM65" s="51"/>
      <c r="AN65" s="51"/>
      <c r="AO65" s="51"/>
      <c r="AP65" s="51"/>
      <c r="AQ65" s="51"/>
      <c r="AR65" s="51"/>
      <c r="AS65" s="51"/>
      <c r="AT65" s="51"/>
      <c r="AU65" s="51"/>
    </row>
    <row r="66" spans="32:47" x14ac:dyDescent="0.15">
      <c r="AF66" s="51"/>
      <c r="AG66" s="51"/>
      <c r="AH66" s="51"/>
      <c r="AI66" s="51"/>
      <c r="AJ66" s="51"/>
      <c r="AK66" s="51"/>
      <c r="AL66" s="51"/>
      <c r="AM66" s="51"/>
      <c r="AN66" s="51"/>
      <c r="AO66" s="51"/>
      <c r="AP66" s="51"/>
      <c r="AQ66" s="51"/>
      <c r="AR66" s="51"/>
      <c r="AS66" s="51"/>
      <c r="AT66" s="51"/>
      <c r="AU66" s="51"/>
    </row>
    <row r="67" spans="32:47" x14ac:dyDescent="0.15">
      <c r="AF67" s="51"/>
      <c r="AG67" s="51"/>
      <c r="AH67" s="51"/>
      <c r="AI67" s="51"/>
      <c r="AJ67" s="51"/>
      <c r="AK67" s="51"/>
      <c r="AL67" s="51"/>
      <c r="AM67" s="51"/>
      <c r="AN67" s="51"/>
      <c r="AO67" s="51"/>
      <c r="AP67" s="51"/>
      <c r="AQ67" s="51"/>
      <c r="AR67" s="51"/>
      <c r="AS67" s="51"/>
      <c r="AT67" s="51"/>
      <c r="AU67" s="51"/>
    </row>
    <row r="68" spans="32:47" x14ac:dyDescent="0.15">
      <c r="AF68" s="51"/>
      <c r="AG68" s="51"/>
      <c r="AH68" s="51"/>
      <c r="AI68" s="51"/>
      <c r="AJ68" s="51"/>
      <c r="AK68" s="51"/>
      <c r="AL68" s="51"/>
      <c r="AM68" s="51"/>
      <c r="AN68" s="51"/>
      <c r="AO68" s="51"/>
      <c r="AP68" s="51"/>
      <c r="AQ68" s="51"/>
      <c r="AR68" s="51"/>
      <c r="AS68" s="51"/>
      <c r="AT68" s="51"/>
      <c r="AU68" s="51"/>
    </row>
    <row r="69" spans="32:47" x14ac:dyDescent="0.15">
      <c r="AF69" s="51"/>
      <c r="AG69" s="51"/>
      <c r="AH69" s="51"/>
      <c r="AI69" s="51"/>
      <c r="AJ69" s="51"/>
      <c r="AK69" s="51"/>
      <c r="AL69" s="51"/>
      <c r="AM69" s="51"/>
      <c r="AN69" s="51"/>
      <c r="AO69" s="51"/>
      <c r="AP69" s="51"/>
      <c r="AQ69" s="51"/>
      <c r="AR69" s="51"/>
      <c r="AS69" s="51"/>
      <c r="AT69" s="51"/>
      <c r="AU69" s="51"/>
    </row>
    <row r="70" spans="32:47" x14ac:dyDescent="0.15">
      <c r="AF70" s="51"/>
      <c r="AG70" s="51"/>
      <c r="AH70" s="51"/>
      <c r="AI70" s="51"/>
      <c r="AJ70" s="51"/>
      <c r="AK70" s="51"/>
      <c r="AL70" s="51"/>
      <c r="AM70" s="51"/>
      <c r="AN70" s="51"/>
      <c r="AO70" s="51"/>
      <c r="AP70" s="51"/>
      <c r="AQ70" s="51"/>
      <c r="AR70" s="51"/>
      <c r="AS70" s="51"/>
      <c r="AT70" s="51"/>
      <c r="AU70" s="51"/>
    </row>
    <row r="71" spans="32:47" x14ac:dyDescent="0.15">
      <c r="AF71" s="51"/>
      <c r="AG71" s="51"/>
      <c r="AH71" s="51"/>
      <c r="AI71" s="51"/>
      <c r="AJ71" s="51"/>
      <c r="AK71" s="51"/>
      <c r="AL71" s="51"/>
      <c r="AM71" s="51"/>
      <c r="AN71" s="51"/>
      <c r="AO71" s="51"/>
      <c r="AP71" s="51"/>
      <c r="AQ71" s="51"/>
      <c r="AR71" s="51"/>
      <c r="AS71" s="51"/>
      <c r="AT71" s="51"/>
      <c r="AU71" s="51"/>
    </row>
    <row r="72" spans="32:47" x14ac:dyDescent="0.15">
      <c r="AF72" s="51"/>
      <c r="AG72" s="51"/>
      <c r="AH72" s="51"/>
      <c r="AI72" s="51"/>
      <c r="AJ72" s="51"/>
      <c r="AK72" s="51"/>
      <c r="AL72" s="51"/>
      <c r="AM72" s="51"/>
      <c r="AN72" s="51"/>
      <c r="AO72" s="51"/>
      <c r="AP72" s="51"/>
      <c r="AQ72" s="51"/>
      <c r="AR72" s="51"/>
      <c r="AS72" s="51"/>
      <c r="AT72" s="51"/>
      <c r="AU72" s="51"/>
    </row>
    <row r="73" spans="32:47" x14ac:dyDescent="0.15">
      <c r="AF73" s="51"/>
      <c r="AG73" s="51"/>
      <c r="AH73" s="51"/>
      <c r="AI73" s="51"/>
      <c r="AJ73" s="51"/>
      <c r="AK73" s="51"/>
      <c r="AL73" s="51"/>
      <c r="AM73" s="51"/>
      <c r="AN73" s="51"/>
      <c r="AO73" s="51"/>
      <c r="AP73" s="51"/>
      <c r="AQ73" s="51"/>
      <c r="AR73" s="51"/>
      <c r="AS73" s="51"/>
      <c r="AT73" s="51"/>
      <c r="AU73" s="51"/>
    </row>
    <row r="74" spans="32:47" x14ac:dyDescent="0.15">
      <c r="AF74" s="51"/>
      <c r="AG74" s="51"/>
      <c r="AH74" s="51"/>
      <c r="AI74" s="51"/>
      <c r="AJ74" s="51"/>
      <c r="AK74" s="51"/>
      <c r="AL74" s="51"/>
      <c r="AM74" s="51"/>
      <c r="AN74" s="51"/>
      <c r="AO74" s="51"/>
      <c r="AP74" s="51"/>
      <c r="AQ74" s="51"/>
      <c r="AR74" s="51"/>
      <c r="AS74" s="51"/>
      <c r="AT74" s="51"/>
      <c r="AU74" s="51"/>
    </row>
    <row r="75" spans="32:47" x14ac:dyDescent="0.15">
      <c r="AF75" s="51"/>
      <c r="AG75" s="51"/>
      <c r="AH75" s="51"/>
      <c r="AI75" s="51"/>
      <c r="AJ75" s="51"/>
      <c r="AK75" s="51"/>
      <c r="AL75" s="51"/>
      <c r="AM75" s="51"/>
      <c r="AN75" s="51"/>
      <c r="AO75" s="51"/>
      <c r="AP75" s="51"/>
      <c r="AQ75" s="51"/>
      <c r="AR75" s="51"/>
      <c r="AS75" s="51"/>
      <c r="AT75" s="51"/>
      <c r="AU75" s="51"/>
    </row>
    <row r="76" spans="32:47" x14ac:dyDescent="0.15">
      <c r="AF76" s="51"/>
      <c r="AG76" s="51"/>
      <c r="AH76" s="51"/>
      <c r="AI76" s="51"/>
      <c r="AJ76" s="51"/>
      <c r="AK76" s="51"/>
      <c r="AL76" s="51"/>
      <c r="AM76" s="51"/>
      <c r="AN76" s="51"/>
      <c r="AO76" s="51"/>
      <c r="AP76" s="51"/>
      <c r="AQ76" s="51"/>
      <c r="AR76" s="51"/>
      <c r="AS76" s="51"/>
      <c r="AT76" s="51"/>
      <c r="AU76" s="51"/>
    </row>
    <row r="77" spans="32:47" x14ac:dyDescent="0.15">
      <c r="AF77" s="51"/>
      <c r="AG77" s="51"/>
      <c r="AH77" s="51"/>
      <c r="AI77" s="51"/>
      <c r="AJ77" s="51"/>
      <c r="AK77" s="51"/>
      <c r="AL77" s="51"/>
      <c r="AM77" s="51"/>
      <c r="AN77" s="51"/>
      <c r="AO77" s="51"/>
      <c r="AP77" s="51"/>
      <c r="AQ77" s="51"/>
      <c r="AR77" s="51"/>
      <c r="AS77" s="51"/>
      <c r="AT77" s="51"/>
      <c r="AU77" s="51"/>
    </row>
    <row r="78" spans="32:47" x14ac:dyDescent="0.15">
      <c r="AF78" s="51"/>
      <c r="AG78" s="51"/>
      <c r="AH78" s="51"/>
      <c r="AI78" s="51"/>
      <c r="AJ78" s="51"/>
      <c r="AK78" s="51"/>
      <c r="AL78" s="51"/>
      <c r="AM78" s="51"/>
      <c r="AN78" s="51"/>
      <c r="AO78" s="51"/>
      <c r="AP78" s="51"/>
      <c r="AQ78" s="51"/>
      <c r="AR78" s="51"/>
      <c r="AS78" s="51"/>
      <c r="AT78" s="51"/>
      <c r="AU78" s="51"/>
    </row>
    <row r="79" spans="32:47" x14ac:dyDescent="0.15">
      <c r="AF79" s="51"/>
      <c r="AG79" s="51"/>
      <c r="AH79" s="51"/>
      <c r="AI79" s="51"/>
      <c r="AJ79" s="51"/>
      <c r="AK79" s="51"/>
      <c r="AL79" s="51"/>
      <c r="AM79" s="51"/>
      <c r="AN79" s="51"/>
      <c r="AO79" s="51"/>
      <c r="AP79" s="51"/>
      <c r="AQ79" s="51"/>
      <c r="AR79" s="51"/>
      <c r="AS79" s="51"/>
      <c r="AT79" s="51"/>
      <c r="AU79" s="51"/>
    </row>
    <row r="80" spans="32:47" x14ac:dyDescent="0.15">
      <c r="AF80" s="51"/>
      <c r="AG80" s="51"/>
      <c r="AH80" s="51"/>
      <c r="AI80" s="51"/>
      <c r="AJ80" s="51"/>
      <c r="AK80" s="51"/>
      <c r="AL80" s="51"/>
      <c r="AM80" s="51"/>
      <c r="AN80" s="51"/>
      <c r="AO80" s="51"/>
      <c r="AP80" s="51"/>
      <c r="AQ80" s="51"/>
      <c r="AR80" s="51"/>
      <c r="AS80" s="51"/>
      <c r="AT80" s="51"/>
      <c r="AU80" s="51"/>
    </row>
    <row r="81" spans="32:47" x14ac:dyDescent="0.15">
      <c r="AF81" s="51"/>
      <c r="AG81" s="51"/>
      <c r="AH81" s="51"/>
      <c r="AI81" s="51"/>
      <c r="AJ81" s="51"/>
      <c r="AK81" s="51"/>
      <c r="AL81" s="51"/>
      <c r="AM81" s="51"/>
      <c r="AN81" s="51"/>
      <c r="AO81" s="51"/>
      <c r="AP81" s="51"/>
      <c r="AQ81" s="51"/>
      <c r="AR81" s="51"/>
      <c r="AS81" s="51"/>
      <c r="AT81" s="51"/>
      <c r="AU81" s="51"/>
    </row>
    <row r="82" spans="32:47" x14ac:dyDescent="0.15">
      <c r="AF82" s="51"/>
      <c r="AG82" s="51"/>
      <c r="AH82" s="51"/>
      <c r="AI82" s="51"/>
      <c r="AJ82" s="51"/>
      <c r="AK82" s="51"/>
      <c r="AL82" s="51"/>
      <c r="AM82" s="51"/>
      <c r="AN82" s="51"/>
      <c r="AO82" s="51"/>
      <c r="AP82" s="51"/>
      <c r="AQ82" s="51"/>
      <c r="AR82" s="51"/>
      <c r="AS82" s="51"/>
      <c r="AT82" s="51"/>
      <c r="AU82" s="51"/>
    </row>
    <row r="83" spans="32:47" x14ac:dyDescent="0.15">
      <c r="AF83" s="51"/>
      <c r="AG83" s="51"/>
      <c r="AH83" s="51"/>
      <c r="AI83" s="51"/>
      <c r="AJ83" s="51"/>
      <c r="AK83" s="51"/>
      <c r="AL83" s="51"/>
      <c r="AM83" s="51"/>
      <c r="AN83" s="51"/>
      <c r="AO83" s="51"/>
      <c r="AP83" s="51"/>
      <c r="AQ83" s="51"/>
      <c r="AR83" s="51"/>
      <c r="AS83" s="51"/>
      <c r="AT83" s="51"/>
      <c r="AU83" s="51"/>
    </row>
    <row r="84" spans="32:47" x14ac:dyDescent="0.15">
      <c r="AF84" s="51"/>
      <c r="AG84" s="51"/>
      <c r="AH84" s="51"/>
      <c r="AI84" s="51"/>
      <c r="AJ84" s="51"/>
      <c r="AK84" s="51"/>
      <c r="AL84" s="51"/>
      <c r="AM84" s="51"/>
      <c r="AN84" s="51"/>
      <c r="AO84" s="51"/>
      <c r="AP84" s="51"/>
      <c r="AQ84" s="51"/>
      <c r="AR84" s="51"/>
      <c r="AS84" s="51"/>
      <c r="AT84" s="51"/>
      <c r="AU84" s="51"/>
    </row>
    <row r="85" spans="32:47" x14ac:dyDescent="0.15">
      <c r="AF85" s="51"/>
      <c r="AG85" s="51"/>
      <c r="AH85" s="51"/>
      <c r="AI85" s="51"/>
      <c r="AJ85" s="51"/>
      <c r="AK85" s="51"/>
      <c r="AL85" s="51"/>
      <c r="AM85" s="51"/>
      <c r="AN85" s="51"/>
      <c r="AO85" s="51"/>
      <c r="AP85" s="51"/>
      <c r="AQ85" s="51"/>
      <c r="AR85" s="51"/>
      <c r="AS85" s="51"/>
      <c r="AT85" s="51"/>
      <c r="AU85" s="51"/>
    </row>
    <row r="86" spans="32:47" x14ac:dyDescent="0.15">
      <c r="AF86" s="51"/>
      <c r="AG86" s="51"/>
      <c r="AH86" s="51"/>
      <c r="AI86" s="51"/>
      <c r="AJ86" s="51"/>
      <c r="AK86" s="51"/>
      <c r="AL86" s="51"/>
      <c r="AM86" s="51"/>
      <c r="AN86" s="51"/>
      <c r="AO86" s="51"/>
      <c r="AP86" s="51"/>
      <c r="AQ86" s="51"/>
      <c r="AR86" s="51"/>
      <c r="AS86" s="51"/>
      <c r="AT86" s="51"/>
      <c r="AU86" s="51"/>
    </row>
    <row r="87" spans="32:47" x14ac:dyDescent="0.15">
      <c r="AF87" s="51"/>
      <c r="AG87" s="51"/>
      <c r="AH87" s="51"/>
      <c r="AI87" s="51"/>
      <c r="AJ87" s="51"/>
      <c r="AK87" s="51"/>
      <c r="AL87" s="51"/>
      <c r="AM87" s="51"/>
      <c r="AN87" s="51"/>
      <c r="AO87" s="51"/>
      <c r="AP87" s="51"/>
      <c r="AQ87" s="51"/>
      <c r="AR87" s="51"/>
      <c r="AS87" s="51"/>
      <c r="AT87" s="51"/>
      <c r="AU87" s="51"/>
    </row>
    <row r="88" spans="32:47" x14ac:dyDescent="0.15">
      <c r="AF88" s="51"/>
      <c r="AG88" s="51"/>
      <c r="AH88" s="51"/>
      <c r="AI88" s="51"/>
      <c r="AJ88" s="51"/>
      <c r="AK88" s="51"/>
      <c r="AL88" s="51"/>
      <c r="AM88" s="51"/>
      <c r="AN88" s="51"/>
      <c r="AO88" s="51"/>
      <c r="AP88" s="51"/>
      <c r="AQ88" s="51"/>
      <c r="AR88" s="51"/>
      <c r="AS88" s="51"/>
      <c r="AT88" s="51"/>
      <c r="AU88" s="51"/>
    </row>
    <row r="89" spans="32:47" x14ac:dyDescent="0.15">
      <c r="AF89" s="51"/>
      <c r="AG89" s="51"/>
      <c r="AH89" s="51"/>
      <c r="AI89" s="51"/>
      <c r="AJ89" s="51"/>
      <c r="AK89" s="51"/>
      <c r="AL89" s="51"/>
      <c r="AM89" s="51"/>
      <c r="AN89" s="51"/>
      <c r="AO89" s="51"/>
      <c r="AP89" s="51"/>
      <c r="AQ89" s="51"/>
      <c r="AR89" s="51"/>
      <c r="AS89" s="51"/>
      <c r="AT89" s="51"/>
      <c r="AU89" s="51"/>
    </row>
  </sheetData>
  <sheetProtection algorithmName="SHA-512" hashValue="GnRrXpBe0qBQpz1kgDQ0CdXJtvUThAgkjtlXdHn/mEMBFfo54HZcdepPVqAveeXNm/l9D3TSfV2i+44nXZKY7Q==" saltValue="Dsxph9KFVhN6jGAS5THpVg==" spinCount="100000" sheet="1"/>
  <mergeCells count="82">
    <mergeCell ref="B49:C49"/>
    <mergeCell ref="B50:C50"/>
    <mergeCell ref="B42:C42"/>
    <mergeCell ref="B43:C43"/>
    <mergeCell ref="B44:C44"/>
    <mergeCell ref="B45:C45"/>
    <mergeCell ref="B46:C46"/>
    <mergeCell ref="B47:C47"/>
    <mergeCell ref="B39:C39"/>
    <mergeCell ref="B40:C40"/>
    <mergeCell ref="B41:C41"/>
    <mergeCell ref="T17:AD17"/>
    <mergeCell ref="B48:C48"/>
    <mergeCell ref="B34:C34"/>
    <mergeCell ref="B35:C35"/>
    <mergeCell ref="B36:C36"/>
    <mergeCell ref="B37:C37"/>
    <mergeCell ref="B38:C38"/>
    <mergeCell ref="B29:C29"/>
    <mergeCell ref="B30:C30"/>
    <mergeCell ref="B31:C31"/>
    <mergeCell ref="B32:C32"/>
    <mergeCell ref="B33:C33"/>
    <mergeCell ref="B21:C24"/>
    <mergeCell ref="B25:C25"/>
    <mergeCell ref="B26:C26"/>
    <mergeCell ref="B27:C27"/>
    <mergeCell ref="B28:C28"/>
    <mergeCell ref="D30:F30"/>
    <mergeCell ref="D29:F29"/>
    <mergeCell ref="D27:F27"/>
    <mergeCell ref="D26:F26"/>
    <mergeCell ref="D25:F25"/>
    <mergeCell ref="D28:F28"/>
    <mergeCell ref="D36:F36"/>
    <mergeCell ref="D43:F43"/>
    <mergeCell ref="D35:F35"/>
    <mergeCell ref="D33:F33"/>
    <mergeCell ref="D31:F31"/>
    <mergeCell ref="D34:F34"/>
    <mergeCell ref="D32:F32"/>
    <mergeCell ref="D37:F37"/>
    <mergeCell ref="D50:F50"/>
    <mergeCell ref="D38:F38"/>
    <mergeCell ref="D39:F39"/>
    <mergeCell ref="D40:F40"/>
    <mergeCell ref="D41:F41"/>
    <mergeCell ref="D42:F42"/>
    <mergeCell ref="D49:F49"/>
    <mergeCell ref="D47:F47"/>
    <mergeCell ref="D48:F48"/>
    <mergeCell ref="D46:F46"/>
    <mergeCell ref="D45:F45"/>
    <mergeCell ref="D44:F44"/>
    <mergeCell ref="D11:I14"/>
    <mergeCell ref="K11:Q14"/>
    <mergeCell ref="AA21:AA24"/>
    <mergeCell ref="Z24:Z25"/>
    <mergeCell ref="Q24:Y24"/>
    <mergeCell ref="L21:Z23"/>
    <mergeCell ref="G21:K24"/>
    <mergeCell ref="F16:F17"/>
    <mergeCell ref="E16:E17"/>
    <mergeCell ref="L24:P24"/>
    <mergeCell ref="D21:F24"/>
    <mergeCell ref="G16:I17"/>
    <mergeCell ref="F18:F19"/>
    <mergeCell ref="K18:K19"/>
    <mergeCell ref="G18:J19"/>
    <mergeCell ref="T10:X10"/>
    <mergeCell ref="T3:AD3"/>
    <mergeCell ref="T4:AD4"/>
    <mergeCell ref="L2:L3"/>
    <mergeCell ref="T2:W2"/>
    <mergeCell ref="T5:AD5"/>
    <mergeCell ref="T6:AD6"/>
    <mergeCell ref="T7:AD7"/>
    <mergeCell ref="T8:AD8"/>
    <mergeCell ref="J5:M6"/>
    <mergeCell ref="D7:J10"/>
    <mergeCell ref="K7:Q10"/>
    <mergeCell ref="F5:I6"/>
  </mergeCells>
  <phoneticPr fontId="2"/>
  <dataValidations count="5">
    <dataValidation type="list" allowBlank="1" showInputMessage="1" showErrorMessage="1" sqref="L16">
      <formula1>$A$8:$A$14</formula1>
    </dataValidation>
    <dataValidation type="list" allowBlank="1" showInputMessage="1" showErrorMessage="1" sqref="A6 A11">
      <formula1>$A$5:$A$7</formula1>
    </dataValidation>
    <dataValidation type="list" allowBlank="1" showInputMessage="1" showErrorMessage="1" sqref="K16">
      <formula1>$A$2:$A$7</formula1>
    </dataValidation>
    <dataValidation type="list" allowBlank="1" showInputMessage="1" showErrorMessage="1" sqref="F18:G18 K18">
      <formula1>$A$23:$A$24</formula1>
    </dataValidation>
    <dataValidation type="list" allowBlank="1" showInputMessage="1" showErrorMessage="1" sqref="M16:O16">
      <formula1>$A$15:$A$22</formula1>
    </dataValidation>
  </dataValidations>
  <printOptions horizontalCentered="1"/>
  <pageMargins left="0.31496062992125984" right="0.15748031496062992" top="0.59055118110236227" bottom="0.23622047244094491" header="0.15748031496062992" footer="0.19685039370078741"/>
  <pageSetup paperSize="8" scale="85" orientation="landscape" r:id="rId1"/>
  <headerFooter>
    <oddHeader xml:space="preserve">&amp;C&amp;"-,太字"&amp;22「我が家の復興計画」&amp;R※このシートは、相談時にお聞きした情報をもとに作成しており、表示した数値等は、
将来にわたる効果を確定するものではありません。参考資料としてご活用ください。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9"/>
  <sheetViews>
    <sheetView workbookViewId="0">
      <selection activeCell="W11" sqref="W11"/>
    </sheetView>
  </sheetViews>
  <sheetFormatPr defaultRowHeight="13.5" x14ac:dyDescent="0.15"/>
  <cols>
    <col min="1" max="1" width="2.875" style="27" customWidth="1"/>
    <col min="2" max="2" width="17.375" style="27" customWidth="1"/>
    <col min="3" max="4" width="14.5" style="27" customWidth="1"/>
    <col min="5" max="5" width="18.375" style="27" customWidth="1"/>
    <col min="6" max="6" width="12.125" style="27" bestFit="1" customWidth="1"/>
    <col min="7" max="7" width="3.5" style="52" hidden="1" customWidth="1"/>
    <col min="8" max="8" width="6.125" style="52" hidden="1" customWidth="1"/>
    <col min="9" max="9" width="9.5" style="52" hidden="1" customWidth="1"/>
    <col min="10" max="10" width="9.125" style="52" hidden="1" customWidth="1"/>
    <col min="11" max="11" width="9" style="52" hidden="1" customWidth="1"/>
    <col min="12" max="12" width="15.125" style="52" hidden="1" customWidth="1"/>
    <col min="13" max="13" width="17.25" style="52" hidden="1" customWidth="1"/>
    <col min="14" max="14" width="6" style="52" hidden="1" customWidth="1"/>
    <col min="15" max="16" width="9" style="52" hidden="1" customWidth="1"/>
    <col min="17" max="17" width="8.625" style="52" hidden="1" customWidth="1"/>
    <col min="18" max="18" width="16.5" style="52" hidden="1" customWidth="1"/>
    <col min="19" max="19" width="6.375" style="27" hidden="1" customWidth="1"/>
    <col min="20" max="20" width="4.375" style="27" hidden="1" customWidth="1"/>
    <col min="21" max="41" width="9" style="84"/>
    <col min="42" max="16384" width="9" style="52"/>
  </cols>
  <sheetData>
    <row r="1" spans="1:20" x14ac:dyDescent="0.15">
      <c r="A1" s="168" t="s">
        <v>199</v>
      </c>
      <c r="B1" s="81"/>
      <c r="C1" s="81"/>
      <c r="D1" s="81"/>
      <c r="E1" s="81"/>
      <c r="F1" s="82"/>
      <c r="J1" s="83"/>
      <c r="K1" s="83"/>
      <c r="L1" s="83"/>
      <c r="M1" s="83"/>
    </row>
    <row r="2" spans="1:20" x14ac:dyDescent="0.15">
      <c r="A2" s="85"/>
      <c r="B2" s="86"/>
      <c r="C2" s="86"/>
      <c r="D2" s="86"/>
      <c r="E2" s="477"/>
      <c r="F2" s="478"/>
      <c r="J2" s="53"/>
      <c r="K2" s="53"/>
      <c r="L2" s="53"/>
      <c r="M2" s="53"/>
    </row>
    <row r="3" spans="1:20" ht="14.25" customHeight="1" x14ac:dyDescent="0.15">
      <c r="A3" s="85"/>
      <c r="B3" s="87"/>
      <c r="C3" s="475"/>
      <c r="D3" s="86"/>
      <c r="E3" s="477"/>
      <c r="F3" s="478"/>
      <c r="J3" s="53"/>
      <c r="K3" s="88"/>
      <c r="L3" s="53"/>
      <c r="M3" s="53"/>
    </row>
    <row r="4" spans="1:20" ht="13.5" customHeight="1" x14ac:dyDescent="0.15">
      <c r="A4" s="85"/>
      <c r="B4" s="86"/>
      <c r="C4" s="476"/>
      <c r="D4" s="86" t="s">
        <v>196</v>
      </c>
      <c r="E4" s="86"/>
      <c r="F4" s="89"/>
      <c r="J4" s="53"/>
      <c r="K4" s="88"/>
      <c r="L4" s="53"/>
      <c r="M4" s="53"/>
    </row>
    <row r="5" spans="1:20" x14ac:dyDescent="0.15">
      <c r="A5" s="90"/>
      <c r="B5" s="91" t="s">
        <v>200</v>
      </c>
      <c r="C5" s="53"/>
      <c r="D5" s="53"/>
      <c r="E5" s="53"/>
      <c r="F5" s="92" t="s">
        <v>20</v>
      </c>
      <c r="J5" s="53"/>
      <c r="K5" s="53"/>
      <c r="L5" s="53"/>
      <c r="M5" s="53"/>
    </row>
    <row r="6" spans="1:20" x14ac:dyDescent="0.15">
      <c r="A6" s="90"/>
      <c r="B6" s="91" t="s">
        <v>201</v>
      </c>
      <c r="C6" s="53"/>
      <c r="D6" s="53"/>
      <c r="E6" s="53"/>
      <c r="F6" s="92"/>
      <c r="J6" s="53"/>
      <c r="K6" s="53"/>
      <c r="L6" s="53"/>
      <c r="M6" s="53"/>
    </row>
    <row r="7" spans="1:20" ht="27" x14ac:dyDescent="0.15">
      <c r="A7" s="85"/>
      <c r="B7" s="120"/>
      <c r="C7" s="121" t="s">
        <v>0</v>
      </c>
      <c r="D7" s="122" t="s">
        <v>1</v>
      </c>
      <c r="E7" s="122" t="s">
        <v>2</v>
      </c>
      <c r="F7" s="123" t="s">
        <v>24</v>
      </c>
      <c r="J7" s="53"/>
      <c r="K7" s="53"/>
      <c r="L7" s="53"/>
      <c r="M7" s="53"/>
    </row>
    <row r="8" spans="1:20" x14ac:dyDescent="0.15">
      <c r="A8" s="85"/>
      <c r="B8" s="120" t="s">
        <v>197</v>
      </c>
      <c r="C8" s="125">
        <v>200</v>
      </c>
      <c r="D8" s="125"/>
      <c r="E8" s="125"/>
      <c r="F8" s="160">
        <f>SUM(C8-D8-E8)</f>
        <v>200</v>
      </c>
      <c r="J8" s="53"/>
      <c r="K8" s="53"/>
      <c r="L8" s="93"/>
      <c r="M8" s="94"/>
    </row>
    <row r="9" spans="1:20" ht="13.5" customHeight="1" x14ac:dyDescent="0.15">
      <c r="A9" s="85"/>
      <c r="B9" s="120" t="s">
        <v>198</v>
      </c>
      <c r="C9" s="125">
        <v>100</v>
      </c>
      <c r="D9" s="125"/>
      <c r="E9" s="125"/>
      <c r="F9" s="160">
        <f>SUM(C9-D9-E9)</f>
        <v>100</v>
      </c>
      <c r="J9" s="95"/>
      <c r="K9" s="96"/>
      <c r="L9" s="97"/>
      <c r="M9" s="97"/>
    </row>
    <row r="10" spans="1:20" ht="14.25" thickBot="1" x14ac:dyDescent="0.2">
      <c r="A10" s="85"/>
      <c r="B10" s="120" t="s">
        <v>175</v>
      </c>
      <c r="C10" s="125"/>
      <c r="D10" s="125"/>
      <c r="E10" s="125"/>
      <c r="F10" s="160">
        <f>SUM(C10-D10-E10)</f>
        <v>0</v>
      </c>
      <c r="J10" s="95"/>
      <c r="K10" s="96"/>
      <c r="L10" s="97"/>
      <c r="M10" s="97"/>
    </row>
    <row r="11" spans="1:20" ht="14.25" thickBot="1" x14ac:dyDescent="0.2">
      <c r="A11" s="85"/>
      <c r="B11" s="141"/>
      <c r="C11" s="142"/>
      <c r="D11" s="142"/>
      <c r="E11" s="143" t="s">
        <v>3</v>
      </c>
      <c r="F11" s="144">
        <f>SUM(F8:F10)</f>
        <v>300</v>
      </c>
      <c r="J11" s="95"/>
      <c r="K11" s="96"/>
      <c r="L11" s="97"/>
      <c r="M11" s="97"/>
    </row>
    <row r="12" spans="1:20" x14ac:dyDescent="0.15">
      <c r="A12" s="90"/>
      <c r="B12" s="53"/>
      <c r="C12" s="53"/>
      <c r="D12" s="53"/>
      <c r="E12" s="53"/>
      <c r="F12" s="98"/>
      <c r="J12" s="95"/>
      <c r="K12" s="96"/>
      <c r="L12" s="97"/>
      <c r="M12" s="97"/>
    </row>
    <row r="13" spans="1:20" x14ac:dyDescent="0.15">
      <c r="A13" s="85"/>
      <c r="B13" s="91" t="s">
        <v>207</v>
      </c>
      <c r="C13" s="53"/>
      <c r="D13" s="53"/>
      <c r="E13" s="53"/>
      <c r="F13" s="92" t="s">
        <v>20</v>
      </c>
      <c r="J13" s="53"/>
      <c r="K13" s="53"/>
      <c r="L13" s="99"/>
      <c r="M13" s="100"/>
    </row>
    <row r="14" spans="1:20" ht="14.25" customHeight="1" x14ac:dyDescent="0.15">
      <c r="A14" s="85"/>
      <c r="B14" s="121" t="s">
        <v>4</v>
      </c>
      <c r="C14" s="121" t="s">
        <v>5</v>
      </c>
      <c r="D14" s="121" t="s">
        <v>6</v>
      </c>
      <c r="E14" s="121" t="s">
        <v>7</v>
      </c>
      <c r="F14" s="124" t="s">
        <v>8</v>
      </c>
      <c r="J14" s="53"/>
      <c r="K14" s="53"/>
      <c r="L14" s="53"/>
      <c r="M14" s="100"/>
      <c r="O14" s="101" t="s">
        <v>188</v>
      </c>
      <c r="P14" s="101" t="s">
        <v>178</v>
      </c>
      <c r="Q14" s="101"/>
      <c r="R14" s="101"/>
      <c r="S14" s="102"/>
      <c r="T14" s="102"/>
    </row>
    <row r="15" spans="1:20" x14ac:dyDescent="0.15">
      <c r="A15" s="85"/>
      <c r="B15" s="479" t="s">
        <v>25</v>
      </c>
      <c r="C15" s="126" t="s">
        <v>9</v>
      </c>
      <c r="D15" s="125">
        <v>5</v>
      </c>
      <c r="E15" s="125"/>
      <c r="F15" s="160">
        <f t="shared" ref="F15:F23" si="0">SUM(D15*12+E15)</f>
        <v>60</v>
      </c>
      <c r="J15" s="53"/>
      <c r="K15" s="53"/>
      <c r="L15" s="53"/>
      <c r="M15" s="53"/>
      <c r="O15" s="101">
        <v>1</v>
      </c>
      <c r="P15" s="101"/>
      <c r="Q15" s="101"/>
      <c r="R15" s="101"/>
      <c r="S15" s="103"/>
      <c r="T15" s="103"/>
    </row>
    <row r="16" spans="1:20" x14ac:dyDescent="0.15">
      <c r="A16" s="85"/>
      <c r="B16" s="481"/>
      <c r="C16" s="126" t="s">
        <v>10</v>
      </c>
      <c r="D16" s="125">
        <v>3</v>
      </c>
      <c r="E16" s="125"/>
      <c r="F16" s="160">
        <f t="shared" si="0"/>
        <v>36</v>
      </c>
      <c r="O16" s="101">
        <v>2</v>
      </c>
      <c r="P16" s="101" t="s">
        <v>183</v>
      </c>
      <c r="Q16" s="101" t="s">
        <v>184</v>
      </c>
      <c r="R16" s="101" t="s">
        <v>189</v>
      </c>
      <c r="S16" s="103"/>
      <c r="T16" s="103"/>
    </row>
    <row r="17" spans="1:20" x14ac:dyDescent="0.15">
      <c r="A17" s="85"/>
      <c r="B17" s="481"/>
      <c r="C17" s="126" t="s">
        <v>22</v>
      </c>
      <c r="D17" s="125">
        <v>2</v>
      </c>
      <c r="E17" s="125"/>
      <c r="F17" s="160">
        <f t="shared" si="0"/>
        <v>24</v>
      </c>
      <c r="L17" s="52">
        <f>D27*0.7*0.014/6</f>
        <v>0.81666666666666676</v>
      </c>
      <c r="O17" s="101">
        <v>3</v>
      </c>
      <c r="P17" s="101" t="s">
        <v>183</v>
      </c>
      <c r="Q17" s="101" t="s">
        <v>184</v>
      </c>
      <c r="R17" s="101" t="s">
        <v>189</v>
      </c>
      <c r="S17" s="103"/>
      <c r="T17" s="103"/>
    </row>
    <row r="18" spans="1:20" x14ac:dyDescent="0.15">
      <c r="A18" s="85"/>
      <c r="B18" s="481"/>
      <c r="C18" s="126" t="s">
        <v>11</v>
      </c>
      <c r="D18" s="125">
        <v>1</v>
      </c>
      <c r="E18" s="125"/>
      <c r="F18" s="160">
        <f t="shared" si="0"/>
        <v>12</v>
      </c>
      <c r="L18" s="52">
        <f>D28*0.014*0.7*0.5</f>
        <v>0.49</v>
      </c>
      <c r="O18" s="101">
        <v>4</v>
      </c>
      <c r="P18" s="101" t="s">
        <v>183</v>
      </c>
      <c r="Q18" s="101" t="s">
        <v>184</v>
      </c>
      <c r="R18" s="101" t="s">
        <v>189</v>
      </c>
      <c r="S18" s="103"/>
      <c r="T18" s="103"/>
    </row>
    <row r="19" spans="1:20" x14ac:dyDescent="0.15">
      <c r="A19" s="85"/>
      <c r="B19" s="481"/>
      <c r="C19" s="126" t="s">
        <v>12</v>
      </c>
      <c r="D19" s="125">
        <v>3</v>
      </c>
      <c r="E19" s="125"/>
      <c r="F19" s="160">
        <f t="shared" si="0"/>
        <v>36</v>
      </c>
      <c r="J19" s="53"/>
      <c r="K19" s="53"/>
      <c r="L19" s="53"/>
      <c r="M19" s="53"/>
      <c r="N19" s="53"/>
      <c r="O19" s="101">
        <v>5</v>
      </c>
      <c r="P19" s="101" t="s">
        <v>183</v>
      </c>
      <c r="Q19" s="101" t="s">
        <v>184</v>
      </c>
      <c r="R19" s="101" t="s">
        <v>189</v>
      </c>
      <c r="S19" s="103"/>
      <c r="T19" s="103"/>
    </row>
    <row r="20" spans="1:20" x14ac:dyDescent="0.15">
      <c r="A20" s="85"/>
      <c r="B20" s="481"/>
      <c r="C20" s="126"/>
      <c r="D20" s="125"/>
      <c r="E20" s="125"/>
      <c r="F20" s="160">
        <f t="shared" si="0"/>
        <v>0</v>
      </c>
      <c r="J20" s="104"/>
      <c r="K20" s="105"/>
      <c r="L20" s="105"/>
      <c r="M20" s="105"/>
      <c r="N20" s="53"/>
      <c r="O20" s="101">
        <v>6</v>
      </c>
      <c r="P20" s="101" t="s">
        <v>183</v>
      </c>
      <c r="Q20" s="101" t="s">
        <v>184</v>
      </c>
      <c r="R20" s="101" t="s">
        <v>189</v>
      </c>
      <c r="S20" s="103"/>
      <c r="T20" s="103"/>
    </row>
    <row r="21" spans="1:20" x14ac:dyDescent="0.15">
      <c r="A21" s="85"/>
      <c r="B21" s="481"/>
      <c r="C21" s="126"/>
      <c r="D21" s="125"/>
      <c r="E21" s="125"/>
      <c r="F21" s="160">
        <f t="shared" si="0"/>
        <v>0</v>
      </c>
      <c r="J21" s="106"/>
      <c r="K21" s="107"/>
      <c r="L21" s="471"/>
      <c r="M21" s="470"/>
      <c r="N21" s="53"/>
      <c r="O21" s="101">
        <v>7</v>
      </c>
      <c r="P21" s="101" t="s">
        <v>183</v>
      </c>
      <c r="Q21" s="101" t="s">
        <v>184</v>
      </c>
      <c r="R21" s="101" t="s">
        <v>189</v>
      </c>
      <c r="S21" s="103"/>
      <c r="T21" s="103"/>
    </row>
    <row r="22" spans="1:20" x14ac:dyDescent="0.15">
      <c r="A22" s="85"/>
      <c r="B22" s="481"/>
      <c r="C22" s="126"/>
      <c r="D22" s="125"/>
      <c r="E22" s="125"/>
      <c r="F22" s="160">
        <f t="shared" si="0"/>
        <v>0</v>
      </c>
      <c r="J22" s="106"/>
      <c r="K22" s="107"/>
      <c r="L22" s="471"/>
      <c r="M22" s="470"/>
      <c r="N22" s="53"/>
      <c r="O22" s="101">
        <v>8</v>
      </c>
      <c r="P22" s="101" t="s">
        <v>183</v>
      </c>
      <c r="Q22" s="101" t="s">
        <v>184</v>
      </c>
      <c r="R22" s="101" t="s">
        <v>189</v>
      </c>
      <c r="S22" s="103"/>
      <c r="T22" s="103"/>
    </row>
    <row r="23" spans="1:20" ht="14.25" thickBot="1" x14ac:dyDescent="0.2">
      <c r="A23" s="85"/>
      <c r="B23" s="481"/>
      <c r="C23" s="126"/>
      <c r="D23" s="125"/>
      <c r="E23" s="127"/>
      <c r="F23" s="161">
        <f t="shared" si="0"/>
        <v>0</v>
      </c>
      <c r="J23" s="53" t="s">
        <v>179</v>
      </c>
      <c r="K23" s="107"/>
      <c r="L23" s="471"/>
      <c r="M23" s="470"/>
      <c r="N23" s="53"/>
      <c r="O23" s="101">
        <v>9</v>
      </c>
      <c r="P23" s="101" t="s">
        <v>183</v>
      </c>
      <c r="Q23" s="101" t="s">
        <v>184</v>
      </c>
      <c r="R23" s="101" t="s">
        <v>189</v>
      </c>
      <c r="S23" s="103"/>
      <c r="T23" s="103"/>
    </row>
    <row r="24" spans="1:20" ht="14.25" thickBot="1" x14ac:dyDescent="0.2">
      <c r="A24" s="90"/>
      <c r="B24" s="145"/>
      <c r="C24" s="142"/>
      <c r="D24" s="142"/>
      <c r="E24" s="143" t="s">
        <v>13</v>
      </c>
      <c r="F24" s="144">
        <f>SUM(F15:F23)</f>
        <v>168</v>
      </c>
      <c r="J24" s="108" t="s">
        <v>182</v>
      </c>
      <c r="K24" s="53" t="s">
        <v>181</v>
      </c>
      <c r="L24" s="52" t="s">
        <v>180</v>
      </c>
      <c r="M24" s="53" t="s">
        <v>193</v>
      </c>
      <c r="N24" s="53"/>
      <c r="O24" s="101">
        <v>10</v>
      </c>
      <c r="P24" s="101" t="s">
        <v>183</v>
      </c>
      <c r="Q24" s="101" t="s">
        <v>184</v>
      </c>
      <c r="R24" s="101" t="s">
        <v>189</v>
      </c>
      <c r="S24" s="103"/>
      <c r="T24" s="103"/>
    </row>
    <row r="25" spans="1:20" x14ac:dyDescent="0.15">
      <c r="A25" s="90"/>
      <c r="B25" s="479" t="s">
        <v>27</v>
      </c>
      <c r="C25" s="128"/>
      <c r="D25" s="128">
        <v>2</v>
      </c>
      <c r="E25" s="129"/>
      <c r="F25" s="162">
        <f>SUM(D25*12+E25)</f>
        <v>24</v>
      </c>
      <c r="I25" s="109">
        <v>41273</v>
      </c>
      <c r="J25" s="110">
        <f>DATE($H$30,$G$29,$H$29)</f>
        <v>39813</v>
      </c>
      <c r="K25" s="52">
        <f>IF($J$25&gt;I25,0,1)</f>
        <v>1</v>
      </c>
      <c r="L25" s="52">
        <v>0</v>
      </c>
      <c r="N25" s="111">
        <f t="shared" ref="N25:N48" si="1">VLOOKUP(K25,$L$25:$M$48,2,1)</f>
        <v>1.3066666666666666</v>
      </c>
      <c r="O25" s="101"/>
      <c r="P25" s="101"/>
      <c r="Q25" s="101" t="s">
        <v>186</v>
      </c>
      <c r="R25" s="112" t="s">
        <v>190</v>
      </c>
    </row>
    <row r="26" spans="1:20" ht="14.25" thickBot="1" x14ac:dyDescent="0.2">
      <c r="A26" s="90"/>
      <c r="B26" s="480"/>
      <c r="C26" s="130" t="s">
        <v>28</v>
      </c>
      <c r="D26" s="130">
        <v>5</v>
      </c>
      <c r="E26" s="131">
        <v>2</v>
      </c>
      <c r="F26" s="163">
        <f>SUM(D26*12+E26)</f>
        <v>62</v>
      </c>
      <c r="I26" s="109">
        <f>I25+365</f>
        <v>41638</v>
      </c>
      <c r="J26" s="110"/>
      <c r="K26" s="52">
        <f t="shared" ref="K26:K49" si="2">IF($J$25&gt;I26,0,K25+1)</f>
        <v>2</v>
      </c>
      <c r="L26" s="52">
        <v>1</v>
      </c>
      <c r="M26" s="111">
        <f>(($D$27*0.7*0.5)+($D$28*0.7/6))*0.014/2</f>
        <v>1.3066666666666666</v>
      </c>
      <c r="N26" s="111">
        <f t="shared" si="1"/>
        <v>1.3066666666666666</v>
      </c>
      <c r="O26" s="113" t="s">
        <v>188</v>
      </c>
      <c r="P26" s="101" t="s">
        <v>187</v>
      </c>
      <c r="Q26" s="113"/>
      <c r="R26" s="113"/>
      <c r="S26" s="102"/>
    </row>
    <row r="27" spans="1:20" ht="13.5" customHeight="1" thickTop="1" x14ac:dyDescent="0.15">
      <c r="A27" s="90"/>
      <c r="B27" s="472" t="s">
        <v>191</v>
      </c>
      <c r="C27" s="146" t="s">
        <v>177</v>
      </c>
      <c r="D27" s="132">
        <v>500</v>
      </c>
      <c r="E27" s="472" t="s">
        <v>179</v>
      </c>
      <c r="F27" s="482">
        <v>20</v>
      </c>
      <c r="I27" s="109">
        <f t="shared" ref="I27:I49" si="3">I26+365</f>
        <v>42003</v>
      </c>
      <c r="J27" s="110"/>
      <c r="K27" s="52">
        <f t="shared" si="2"/>
        <v>3</v>
      </c>
      <c r="L27" s="52">
        <v>2</v>
      </c>
      <c r="M27" s="111">
        <f>(($D$27*0.7*0.5)+($D$28*0.7/6))*0.014/2</f>
        <v>1.3066666666666666</v>
      </c>
      <c r="N27" s="111">
        <f t="shared" si="1"/>
        <v>1.3066666666666666</v>
      </c>
      <c r="O27" s="113">
        <v>1</v>
      </c>
      <c r="P27" s="113"/>
      <c r="Q27" s="113"/>
      <c r="R27" s="113"/>
      <c r="S27" s="102"/>
    </row>
    <row r="28" spans="1:20" x14ac:dyDescent="0.15">
      <c r="A28" s="90"/>
      <c r="B28" s="473"/>
      <c r="C28" s="147" t="s">
        <v>178</v>
      </c>
      <c r="D28" s="133">
        <v>100</v>
      </c>
      <c r="E28" s="473"/>
      <c r="F28" s="483"/>
      <c r="I28" s="109">
        <f t="shared" si="3"/>
        <v>42368</v>
      </c>
      <c r="J28" s="110"/>
      <c r="K28" s="52">
        <f t="shared" si="2"/>
        <v>4</v>
      </c>
      <c r="L28" s="52">
        <v>3</v>
      </c>
      <c r="M28" s="111">
        <f>(($D$27*0.7*0.5)+($D$28*0.7/6))*0.014/2</f>
        <v>1.3066666666666666</v>
      </c>
      <c r="N28" s="111">
        <f t="shared" si="1"/>
        <v>2.5316666666666667</v>
      </c>
      <c r="O28" s="113">
        <v>2</v>
      </c>
      <c r="P28" s="101" t="s">
        <v>183</v>
      </c>
      <c r="Q28" s="101" t="s">
        <v>184</v>
      </c>
      <c r="R28" s="101" t="s">
        <v>185</v>
      </c>
      <c r="S28" s="103"/>
    </row>
    <row r="29" spans="1:20" x14ac:dyDescent="0.15">
      <c r="A29" s="90"/>
      <c r="B29" s="474"/>
      <c r="C29" s="147" t="s">
        <v>192</v>
      </c>
      <c r="D29" s="149">
        <v>100</v>
      </c>
      <c r="E29" s="474"/>
      <c r="F29" s="484"/>
      <c r="G29" s="52">
        <v>12</v>
      </c>
      <c r="H29" s="52">
        <v>31</v>
      </c>
      <c r="I29" s="109">
        <f>I28+366</f>
        <v>42734</v>
      </c>
      <c r="J29" s="110"/>
      <c r="K29" s="52">
        <f t="shared" si="2"/>
        <v>5</v>
      </c>
      <c r="L29" s="52">
        <v>4</v>
      </c>
      <c r="M29" s="111">
        <f>(($D$27*0.7)+($D$28*0.7/6))*0.014/2</f>
        <v>2.5316666666666667</v>
      </c>
      <c r="N29" s="111">
        <f t="shared" si="1"/>
        <v>3.3755555555555556</v>
      </c>
      <c r="O29" s="113">
        <v>3</v>
      </c>
      <c r="P29" s="101" t="s">
        <v>183</v>
      </c>
      <c r="Q29" s="101" t="s">
        <v>184</v>
      </c>
      <c r="R29" s="101" t="s">
        <v>185</v>
      </c>
      <c r="S29" s="103"/>
    </row>
    <row r="30" spans="1:20" ht="13.5" customHeight="1" thickBot="1" x14ac:dyDescent="0.2">
      <c r="A30" s="90"/>
      <c r="B30" s="80"/>
      <c r="C30" s="148"/>
      <c r="D30" s="148"/>
      <c r="E30" s="150" t="s">
        <v>13</v>
      </c>
      <c r="F30" s="151">
        <f>(F25+F26)</f>
        <v>86</v>
      </c>
      <c r="H30" s="111">
        <f>F27+1988</f>
        <v>2008</v>
      </c>
      <c r="I30" s="109">
        <f t="shared" si="3"/>
        <v>43099</v>
      </c>
      <c r="J30" s="110"/>
      <c r="K30" s="52">
        <f t="shared" si="2"/>
        <v>6</v>
      </c>
      <c r="L30" s="52">
        <v>5</v>
      </c>
      <c r="M30" s="111">
        <f>(($D$27*0.7)+($D$28*0.7/6))*0.014*2/3</f>
        <v>3.3755555555555556</v>
      </c>
      <c r="N30" s="111">
        <f t="shared" si="1"/>
        <v>3.3755555555555556</v>
      </c>
      <c r="O30" s="113">
        <v>4</v>
      </c>
      <c r="P30" s="101" t="s">
        <v>183</v>
      </c>
      <c r="Q30" s="101" t="s">
        <v>184</v>
      </c>
      <c r="R30" s="101" t="s">
        <v>185</v>
      </c>
      <c r="S30" s="103"/>
    </row>
    <row r="31" spans="1:20" x14ac:dyDescent="0.15">
      <c r="A31" s="90"/>
      <c r="B31" s="479" t="s">
        <v>29</v>
      </c>
      <c r="C31" s="126" t="s">
        <v>23</v>
      </c>
      <c r="D31" s="126">
        <v>2</v>
      </c>
      <c r="E31" s="134"/>
      <c r="F31" s="164">
        <f>SUM(D31*12+E31)</f>
        <v>24</v>
      </c>
      <c r="I31" s="109">
        <f t="shared" si="3"/>
        <v>43464</v>
      </c>
      <c r="J31" s="110"/>
      <c r="K31" s="52">
        <f t="shared" si="2"/>
        <v>7</v>
      </c>
      <c r="L31" s="52">
        <v>6</v>
      </c>
      <c r="M31" s="111">
        <f>(($D$27*0.7)+($D$28*0.7/6))*0.014*2/3</f>
        <v>3.3755555555555556</v>
      </c>
      <c r="N31" s="111">
        <f t="shared" si="1"/>
        <v>5.0633333333333335</v>
      </c>
      <c r="O31" s="113">
        <v>5</v>
      </c>
      <c r="P31" s="101" t="s">
        <v>183</v>
      </c>
      <c r="Q31" s="101" t="s">
        <v>184</v>
      </c>
      <c r="R31" s="101"/>
      <c r="S31" s="103"/>
    </row>
    <row r="32" spans="1:20" x14ac:dyDescent="0.15">
      <c r="A32" s="90"/>
      <c r="B32" s="481"/>
      <c r="C32" s="126" t="s">
        <v>15</v>
      </c>
      <c r="D32" s="126">
        <v>1</v>
      </c>
      <c r="E32" s="135"/>
      <c r="F32" s="160">
        <f>SUM(D32*12+E32)</f>
        <v>12</v>
      </c>
      <c r="I32" s="109">
        <f t="shared" si="3"/>
        <v>43829</v>
      </c>
      <c r="J32" s="110"/>
      <c r="K32" s="52">
        <f t="shared" si="2"/>
        <v>8</v>
      </c>
      <c r="L32" s="52">
        <v>7</v>
      </c>
      <c r="M32" s="111">
        <f>(($D$27*0.7)+($D$28*0.7/6))*0.014</f>
        <v>5.0633333333333335</v>
      </c>
      <c r="N32" s="111">
        <f t="shared" si="1"/>
        <v>5.0633333333333335</v>
      </c>
      <c r="O32" s="113">
        <v>6</v>
      </c>
      <c r="P32" s="101" t="s">
        <v>183</v>
      </c>
      <c r="Q32" s="101" t="s">
        <v>184</v>
      </c>
      <c r="R32" s="101"/>
      <c r="S32" s="103"/>
    </row>
    <row r="33" spans="1:19" ht="14.25" thickBot="1" x14ac:dyDescent="0.2">
      <c r="A33" s="90"/>
      <c r="B33" s="481"/>
      <c r="C33" s="126"/>
      <c r="D33" s="125"/>
      <c r="E33" s="127"/>
      <c r="F33" s="161">
        <f>SUM(D33*12+E33)</f>
        <v>0</v>
      </c>
      <c r="I33" s="109">
        <f>I32+365+1</f>
        <v>44195</v>
      </c>
      <c r="J33" s="110"/>
      <c r="K33" s="52">
        <f t="shared" si="2"/>
        <v>9</v>
      </c>
      <c r="L33" s="52">
        <v>8</v>
      </c>
      <c r="M33" s="111">
        <f t="shared" ref="M33:M47" si="4">(($D$27*0.7)+($D$28*0.7/6))*0.014</f>
        <v>5.0633333333333335</v>
      </c>
      <c r="N33" s="111">
        <f t="shared" si="1"/>
        <v>5.0633333333333335</v>
      </c>
      <c r="O33" s="113">
        <v>7</v>
      </c>
      <c r="P33" s="101" t="s">
        <v>183</v>
      </c>
      <c r="Q33" s="101" t="s">
        <v>184</v>
      </c>
      <c r="R33" s="101"/>
      <c r="S33" s="103"/>
    </row>
    <row r="34" spans="1:19" ht="14.25" thickBot="1" x14ac:dyDescent="0.2">
      <c r="A34" s="140"/>
      <c r="B34" s="152"/>
      <c r="C34" s="485"/>
      <c r="D34" s="485"/>
      <c r="E34" s="143" t="s">
        <v>13</v>
      </c>
      <c r="F34" s="144">
        <f>SUM(F31:F33)</f>
        <v>36</v>
      </c>
      <c r="I34" s="109">
        <f t="shared" si="3"/>
        <v>44560</v>
      </c>
      <c r="J34" s="110"/>
      <c r="K34" s="52">
        <f t="shared" si="2"/>
        <v>10</v>
      </c>
      <c r="L34" s="52">
        <v>9</v>
      </c>
      <c r="M34" s="111">
        <f t="shared" si="4"/>
        <v>5.0633333333333335</v>
      </c>
      <c r="N34" s="111">
        <f t="shared" si="1"/>
        <v>5.0633333333333335</v>
      </c>
      <c r="O34" s="113">
        <v>8</v>
      </c>
      <c r="P34" s="101" t="s">
        <v>183</v>
      </c>
      <c r="Q34" s="101" t="s">
        <v>184</v>
      </c>
      <c r="R34" s="101"/>
      <c r="S34" s="103"/>
    </row>
    <row r="35" spans="1:19" x14ac:dyDescent="0.15">
      <c r="A35" s="90"/>
      <c r="B35" s="481" t="s">
        <v>30</v>
      </c>
      <c r="C35" s="136" t="s">
        <v>31</v>
      </c>
      <c r="D35" s="137">
        <v>1</v>
      </c>
      <c r="E35" s="134"/>
      <c r="F35" s="164">
        <f>SUM(D35*12+E35)</f>
        <v>12</v>
      </c>
      <c r="I35" s="109">
        <f t="shared" si="3"/>
        <v>44925</v>
      </c>
      <c r="J35" s="110"/>
      <c r="K35" s="52">
        <f t="shared" si="2"/>
        <v>11</v>
      </c>
      <c r="L35" s="52">
        <v>10</v>
      </c>
      <c r="M35" s="111">
        <f t="shared" si="4"/>
        <v>5.0633333333333335</v>
      </c>
      <c r="N35" s="111">
        <f t="shared" si="1"/>
        <v>5.0633333333333335</v>
      </c>
      <c r="O35" s="113">
        <v>9</v>
      </c>
      <c r="P35" s="101" t="s">
        <v>183</v>
      </c>
      <c r="Q35" s="101" t="s">
        <v>184</v>
      </c>
      <c r="R35" s="114"/>
      <c r="S35" s="103"/>
    </row>
    <row r="36" spans="1:19" x14ac:dyDescent="0.15">
      <c r="A36" s="90"/>
      <c r="B36" s="481"/>
      <c r="C36" s="136" t="s">
        <v>32</v>
      </c>
      <c r="D36" s="137">
        <v>2</v>
      </c>
      <c r="E36" s="135"/>
      <c r="F36" s="160">
        <f>SUM(D36*12+E36)</f>
        <v>24</v>
      </c>
      <c r="I36" s="109">
        <f t="shared" si="3"/>
        <v>45290</v>
      </c>
      <c r="J36" s="110"/>
      <c r="K36" s="52">
        <f t="shared" si="2"/>
        <v>12</v>
      </c>
      <c r="L36" s="52">
        <v>11</v>
      </c>
      <c r="M36" s="111">
        <f t="shared" si="4"/>
        <v>5.0633333333333335</v>
      </c>
      <c r="N36" s="111">
        <f t="shared" si="1"/>
        <v>5.0633333333333335</v>
      </c>
      <c r="O36" s="113">
        <v>10</v>
      </c>
      <c r="P36" s="101" t="s">
        <v>183</v>
      </c>
      <c r="Q36" s="101" t="s">
        <v>184</v>
      </c>
      <c r="R36" s="101"/>
      <c r="S36" s="103"/>
    </row>
    <row r="37" spans="1:19" x14ac:dyDescent="0.15">
      <c r="A37" s="90"/>
      <c r="B37" s="481"/>
      <c r="C37" s="136" t="s">
        <v>33</v>
      </c>
      <c r="D37" s="137"/>
      <c r="E37" s="135"/>
      <c r="F37" s="160">
        <f>SUM(D37*12+E37)</f>
        <v>0</v>
      </c>
      <c r="I37" s="109">
        <f>I36+365+1</f>
        <v>45656</v>
      </c>
      <c r="J37" s="110"/>
      <c r="K37" s="52">
        <f t="shared" si="2"/>
        <v>13</v>
      </c>
      <c r="L37" s="52">
        <v>12</v>
      </c>
      <c r="M37" s="111">
        <f t="shared" si="4"/>
        <v>5.0633333333333335</v>
      </c>
      <c r="N37" s="111">
        <f t="shared" si="1"/>
        <v>5.0633333333333335</v>
      </c>
      <c r="O37" s="113"/>
      <c r="P37" s="101"/>
      <c r="Q37" s="101" t="s">
        <v>186</v>
      </c>
      <c r="R37" s="101"/>
      <c r="S37" s="103"/>
    </row>
    <row r="38" spans="1:19" ht="14.25" thickBot="1" x14ac:dyDescent="0.2">
      <c r="A38" s="90"/>
      <c r="B38" s="481"/>
      <c r="C38" s="137"/>
      <c r="D38" s="137"/>
      <c r="E38" s="138"/>
      <c r="F38" s="161">
        <f>SUM(D38*12+E38)</f>
        <v>0</v>
      </c>
      <c r="I38" s="109">
        <f t="shared" si="3"/>
        <v>46021</v>
      </c>
      <c r="J38" s="110"/>
      <c r="K38" s="52">
        <f t="shared" si="2"/>
        <v>14</v>
      </c>
      <c r="L38" s="52">
        <v>13</v>
      </c>
      <c r="M38" s="111">
        <f t="shared" si="4"/>
        <v>5.0633333333333335</v>
      </c>
      <c r="N38" s="111">
        <f t="shared" si="1"/>
        <v>5.0633333333333335</v>
      </c>
    </row>
    <row r="39" spans="1:19" ht="14.25" thickBot="1" x14ac:dyDescent="0.2">
      <c r="A39" s="90"/>
      <c r="B39" s="145"/>
      <c r="C39" s="153"/>
      <c r="D39" s="153"/>
      <c r="E39" s="143" t="s">
        <v>13</v>
      </c>
      <c r="F39" s="144">
        <f>SUM(F35:F38)</f>
        <v>36</v>
      </c>
      <c r="I39" s="109">
        <f t="shared" si="3"/>
        <v>46386</v>
      </c>
      <c r="J39" s="110"/>
      <c r="K39" s="52">
        <f t="shared" si="2"/>
        <v>15</v>
      </c>
      <c r="L39" s="52">
        <v>14</v>
      </c>
      <c r="M39" s="111">
        <f t="shared" si="4"/>
        <v>5.0633333333333335</v>
      </c>
      <c r="N39" s="111">
        <f t="shared" si="1"/>
        <v>5.0633333333333335</v>
      </c>
    </row>
    <row r="40" spans="1:19" x14ac:dyDescent="0.15">
      <c r="A40" s="90"/>
      <c r="B40" s="479" t="s">
        <v>21</v>
      </c>
      <c r="C40" s="126" t="s">
        <v>34</v>
      </c>
      <c r="D40" s="125"/>
      <c r="E40" s="139"/>
      <c r="F40" s="164">
        <f>SUM(D40*12+E40)</f>
        <v>0</v>
      </c>
      <c r="I40" s="109">
        <f t="shared" si="3"/>
        <v>46751</v>
      </c>
      <c r="J40" s="110"/>
      <c r="K40" s="52">
        <f t="shared" si="2"/>
        <v>16</v>
      </c>
      <c r="L40" s="52">
        <v>15</v>
      </c>
      <c r="M40" s="111">
        <f t="shared" si="4"/>
        <v>5.0633333333333335</v>
      </c>
      <c r="N40" s="111">
        <f t="shared" si="1"/>
        <v>5.0633333333333335</v>
      </c>
      <c r="R40" s="52" t="s">
        <v>194</v>
      </c>
    </row>
    <row r="41" spans="1:19" x14ac:dyDescent="0.15">
      <c r="A41" s="90"/>
      <c r="B41" s="481"/>
      <c r="C41" s="126"/>
      <c r="D41" s="125"/>
      <c r="E41" s="125"/>
      <c r="F41" s="160">
        <f>SUM(D41*12+E41)</f>
        <v>0</v>
      </c>
      <c r="I41" s="109">
        <f>I40+365+1</f>
        <v>47117</v>
      </c>
      <c r="J41" s="110"/>
      <c r="K41" s="52">
        <f t="shared" si="2"/>
        <v>17</v>
      </c>
      <c r="L41" s="52">
        <v>16</v>
      </c>
      <c r="M41" s="111">
        <f t="shared" si="4"/>
        <v>5.0633333333333335</v>
      </c>
      <c r="N41" s="111">
        <f t="shared" si="1"/>
        <v>5.0633333333333335</v>
      </c>
    </row>
    <row r="42" spans="1:19" ht="14.25" thickBot="1" x14ac:dyDescent="0.2">
      <c r="A42" s="90"/>
      <c r="B42" s="481"/>
      <c r="C42" s="126"/>
      <c r="D42" s="125"/>
      <c r="E42" s="125"/>
      <c r="F42" s="160">
        <f>SUM(D42*12+E42)</f>
        <v>0</v>
      </c>
      <c r="I42" s="109">
        <f t="shared" si="3"/>
        <v>47482</v>
      </c>
      <c r="J42" s="110"/>
      <c r="K42" s="52">
        <f t="shared" si="2"/>
        <v>18</v>
      </c>
      <c r="L42" s="52">
        <v>17</v>
      </c>
      <c r="M42" s="111">
        <f t="shared" si="4"/>
        <v>5.0633333333333335</v>
      </c>
      <c r="N42" s="111">
        <f t="shared" si="1"/>
        <v>5.0633333333333335</v>
      </c>
    </row>
    <row r="43" spans="1:19" ht="14.25" thickBot="1" x14ac:dyDescent="0.2">
      <c r="A43" s="90"/>
      <c r="B43" s="154"/>
      <c r="C43" s="142"/>
      <c r="D43" s="155"/>
      <c r="E43" s="156" t="s">
        <v>13</v>
      </c>
      <c r="F43" s="157">
        <f>SUM(F40:F42)</f>
        <v>0</v>
      </c>
      <c r="I43" s="109">
        <f>I42+365</f>
        <v>47847</v>
      </c>
      <c r="J43" s="110"/>
      <c r="K43" s="52">
        <f t="shared" si="2"/>
        <v>19</v>
      </c>
      <c r="L43" s="52">
        <v>18</v>
      </c>
      <c r="M43" s="111">
        <f t="shared" si="4"/>
        <v>5.0633333333333335</v>
      </c>
      <c r="N43" s="111">
        <f t="shared" si="1"/>
        <v>5.0633333333333335</v>
      </c>
    </row>
    <row r="44" spans="1:19" ht="15" thickBot="1" x14ac:dyDescent="0.2">
      <c r="A44" s="90"/>
      <c r="B44" s="86"/>
      <c r="C44" s="86"/>
      <c r="D44" s="86"/>
      <c r="E44" s="143" t="s">
        <v>3</v>
      </c>
      <c r="F44" s="158">
        <f>SUM(F24+F30+F34+F39+F43)</f>
        <v>326</v>
      </c>
      <c r="I44" s="109">
        <f t="shared" si="3"/>
        <v>48212</v>
      </c>
      <c r="J44" s="110"/>
      <c r="K44" s="52">
        <f t="shared" si="2"/>
        <v>20</v>
      </c>
      <c r="L44" s="52">
        <v>19</v>
      </c>
      <c r="M44" s="111">
        <f t="shared" si="4"/>
        <v>5.0633333333333335</v>
      </c>
      <c r="N44" s="111">
        <f t="shared" si="1"/>
        <v>5.0633333333333335</v>
      </c>
    </row>
    <row r="45" spans="1:19" ht="14.25" x14ac:dyDescent="0.15">
      <c r="A45" s="85"/>
      <c r="B45" s="86"/>
      <c r="C45" s="86"/>
      <c r="D45" s="86"/>
      <c r="E45" s="86"/>
      <c r="F45" s="115"/>
      <c r="I45" s="109">
        <f t="shared" si="3"/>
        <v>48577</v>
      </c>
      <c r="J45" s="110"/>
      <c r="K45" s="52">
        <f t="shared" si="2"/>
        <v>21</v>
      </c>
      <c r="L45" s="52">
        <v>21</v>
      </c>
      <c r="M45" s="111">
        <f t="shared" si="4"/>
        <v>5.0633333333333335</v>
      </c>
      <c r="N45" s="111">
        <f t="shared" si="1"/>
        <v>5.0633333333333335</v>
      </c>
    </row>
    <row r="46" spans="1:19" ht="15" thickBot="1" x14ac:dyDescent="0.2">
      <c r="A46" s="116"/>
      <c r="B46" s="117"/>
      <c r="C46" s="117"/>
      <c r="D46" s="117"/>
      <c r="E46" s="118"/>
      <c r="F46" s="119"/>
      <c r="I46" s="109">
        <f t="shared" si="3"/>
        <v>48942</v>
      </c>
      <c r="J46" s="110"/>
      <c r="K46" s="52">
        <f t="shared" si="2"/>
        <v>22</v>
      </c>
      <c r="L46" s="52">
        <v>22</v>
      </c>
      <c r="M46" s="111">
        <f t="shared" si="4"/>
        <v>5.0633333333333335</v>
      </c>
      <c r="N46" s="111">
        <f t="shared" si="1"/>
        <v>5.0633333333333335</v>
      </c>
    </row>
    <row r="47" spans="1:19" x14ac:dyDescent="0.15">
      <c r="A47" s="53"/>
      <c r="I47" s="109">
        <f t="shared" si="3"/>
        <v>49307</v>
      </c>
      <c r="J47" s="110"/>
      <c r="K47" s="52">
        <f t="shared" si="2"/>
        <v>23</v>
      </c>
      <c r="L47" s="52">
        <v>23</v>
      </c>
      <c r="M47" s="111">
        <f t="shared" si="4"/>
        <v>5.0633333333333335</v>
      </c>
      <c r="N47" s="111">
        <f t="shared" si="1"/>
        <v>5.0633333333333335</v>
      </c>
    </row>
    <row r="48" spans="1:19" x14ac:dyDescent="0.15">
      <c r="I48" s="109">
        <f t="shared" si="3"/>
        <v>49672</v>
      </c>
      <c r="J48" s="110"/>
      <c r="K48" s="52">
        <f t="shared" si="2"/>
        <v>24</v>
      </c>
      <c r="L48" s="52">
        <v>24</v>
      </c>
      <c r="M48" s="111">
        <f>(($D$27*0.7)+($D$28*0.7/6))*0.014</f>
        <v>5.0633333333333335</v>
      </c>
      <c r="N48" s="111">
        <f t="shared" si="1"/>
        <v>5.0633333333333335</v>
      </c>
    </row>
    <row r="49" spans="9:14" x14ac:dyDescent="0.15">
      <c r="I49" s="109">
        <f t="shared" si="3"/>
        <v>50037</v>
      </c>
      <c r="K49" s="52">
        <f t="shared" si="2"/>
        <v>25</v>
      </c>
      <c r="L49" s="52">
        <v>25</v>
      </c>
      <c r="M49" s="111">
        <f>(($D$27*0.7)+($D$28*0.7/6))*0.014</f>
        <v>5.0633333333333335</v>
      </c>
      <c r="N49" s="111">
        <f>VLOOKUP(K49,$L$25:$M$48,2,1)</f>
        <v>5.0633333333333335</v>
      </c>
    </row>
  </sheetData>
  <sheetProtection sheet="1"/>
  <mergeCells count="13">
    <mergeCell ref="B40:B42"/>
    <mergeCell ref="B35:B38"/>
    <mergeCell ref="E27:E29"/>
    <mergeCell ref="F27:F29"/>
    <mergeCell ref="B31:B33"/>
    <mergeCell ref="C34:D34"/>
    <mergeCell ref="M21:M23"/>
    <mergeCell ref="L21:L23"/>
    <mergeCell ref="B27:B29"/>
    <mergeCell ref="C3:C4"/>
    <mergeCell ref="E2:F3"/>
    <mergeCell ref="B25:B26"/>
    <mergeCell ref="B15:B23"/>
  </mergeCells>
  <phoneticPr fontId="2"/>
  <pageMargins left="0.70866141732283472" right="0.70866141732283472" top="0.35433070866141736" bottom="0.35433070866141736" header="0.31496062992125984" footer="0.31496062992125984"/>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D23" sqref="D23"/>
    </sheetView>
  </sheetViews>
  <sheetFormatPr defaultRowHeight="13.5" x14ac:dyDescent="0.15"/>
  <cols>
    <col min="1" max="1" width="2.125" customWidth="1"/>
    <col min="2" max="2" width="17.25" customWidth="1"/>
    <col min="3" max="3" width="12.875" style="23" bestFit="1" customWidth="1"/>
    <col min="4" max="4" width="13.125" bestFit="1" customWidth="1"/>
    <col min="5" max="5" width="13.125" customWidth="1"/>
    <col min="6" max="6" width="12.75" customWidth="1"/>
    <col min="7" max="7" width="16.25" bestFit="1" customWidth="1"/>
    <col min="8" max="8" width="4.125" customWidth="1"/>
  </cols>
  <sheetData>
    <row r="1" spans="1:8" x14ac:dyDescent="0.15">
      <c r="A1" s="30" t="s">
        <v>155</v>
      </c>
      <c r="B1" s="27"/>
      <c r="C1" s="40"/>
      <c r="D1" s="27"/>
      <c r="E1" s="27"/>
      <c r="F1" s="27"/>
      <c r="G1" s="27"/>
      <c r="H1" s="27"/>
    </row>
    <row r="2" spans="1:8" x14ac:dyDescent="0.15">
      <c r="A2" s="27"/>
      <c r="B2" s="27"/>
      <c r="C2" s="40"/>
      <c r="D2" s="27"/>
      <c r="E2" s="486" t="s">
        <v>156</v>
      </c>
      <c r="F2" s="487"/>
      <c r="G2" s="27"/>
      <c r="H2" s="27"/>
    </row>
    <row r="3" spans="1:8" ht="14.25" thickBot="1" x14ac:dyDescent="0.2">
      <c r="A3" s="27"/>
      <c r="B3" s="33" t="s">
        <v>63</v>
      </c>
      <c r="C3" s="42" t="s">
        <v>20</v>
      </c>
      <c r="D3" s="32"/>
      <c r="E3" s="488"/>
      <c r="F3" s="489"/>
      <c r="G3" s="31"/>
      <c r="H3" s="27"/>
    </row>
    <row r="4" spans="1:8" ht="28.5" customHeight="1" x14ac:dyDescent="0.15">
      <c r="A4" s="27"/>
      <c r="B4" s="16" t="s">
        <v>50</v>
      </c>
      <c r="C4" s="43" t="s">
        <v>57</v>
      </c>
      <c r="D4" s="34"/>
      <c r="E4" s="27"/>
      <c r="F4" s="27"/>
      <c r="G4" s="27"/>
      <c r="H4" s="27"/>
    </row>
    <row r="5" spans="1:8" x14ac:dyDescent="0.15">
      <c r="A5" s="27"/>
      <c r="B5" s="5" t="s">
        <v>53</v>
      </c>
      <c r="C5" s="44">
        <f>シート１!AC25</f>
        <v>100</v>
      </c>
      <c r="D5" s="28"/>
      <c r="E5" s="27"/>
      <c r="F5" s="27"/>
      <c r="G5" s="27"/>
      <c r="H5" s="27"/>
    </row>
    <row r="6" spans="1:8" x14ac:dyDescent="0.15">
      <c r="A6" s="27"/>
      <c r="B6" s="5" t="s">
        <v>54</v>
      </c>
      <c r="C6" s="44">
        <v>50</v>
      </c>
      <c r="D6" s="28"/>
      <c r="E6" s="27"/>
      <c r="F6" s="27"/>
      <c r="G6" s="27"/>
      <c r="H6" s="27"/>
    </row>
    <row r="7" spans="1:8" x14ac:dyDescent="0.15">
      <c r="A7" s="27"/>
      <c r="B7" s="5" t="s">
        <v>55</v>
      </c>
      <c r="C7" s="44"/>
      <c r="D7" s="28"/>
      <c r="E7" s="27"/>
      <c r="F7" s="27"/>
      <c r="G7" s="27"/>
      <c r="H7" s="27"/>
    </row>
    <row r="8" spans="1:8" x14ac:dyDescent="0.15">
      <c r="A8" s="27"/>
      <c r="B8" s="5" t="s">
        <v>56</v>
      </c>
      <c r="C8" s="45"/>
      <c r="D8" s="28"/>
      <c r="E8" s="27"/>
      <c r="F8" s="27"/>
      <c r="G8" s="27"/>
      <c r="H8" s="27"/>
    </row>
    <row r="9" spans="1:8" ht="14.25" thickBot="1" x14ac:dyDescent="0.2">
      <c r="A9" s="27"/>
      <c r="B9" s="9" t="s">
        <v>52</v>
      </c>
      <c r="C9" s="46">
        <f>SUM(C5:C8)</f>
        <v>150</v>
      </c>
      <c r="D9" s="28"/>
      <c r="E9" s="27"/>
      <c r="F9" s="27"/>
      <c r="G9" s="27"/>
      <c r="H9" s="27"/>
    </row>
    <row r="10" spans="1:8" x14ac:dyDescent="0.15">
      <c r="A10" s="27"/>
      <c r="B10" s="27"/>
      <c r="C10" s="40"/>
      <c r="D10" s="29"/>
      <c r="E10" s="29"/>
      <c r="F10" s="29"/>
      <c r="G10" s="28"/>
      <c r="H10" s="27"/>
    </row>
    <row r="11" spans="1:8" ht="14.25" thickBot="1" x14ac:dyDescent="0.2">
      <c r="A11" s="27"/>
      <c r="B11" s="33" t="s">
        <v>64</v>
      </c>
      <c r="C11" s="40"/>
      <c r="D11" s="27"/>
      <c r="E11" s="27"/>
      <c r="F11" s="27"/>
      <c r="G11" s="32" t="s">
        <v>20</v>
      </c>
      <c r="H11" s="27"/>
    </row>
    <row r="12" spans="1:8" x14ac:dyDescent="0.15">
      <c r="A12" s="27"/>
      <c r="B12" s="4" t="s">
        <v>51</v>
      </c>
      <c r="C12" s="47" t="s">
        <v>35</v>
      </c>
      <c r="D12" s="17" t="s">
        <v>59</v>
      </c>
      <c r="E12" s="2" t="s">
        <v>60</v>
      </c>
      <c r="F12" s="2" t="s">
        <v>61</v>
      </c>
      <c r="G12" s="1" t="s">
        <v>36</v>
      </c>
      <c r="H12" s="27"/>
    </row>
    <row r="13" spans="1:8" x14ac:dyDescent="0.15">
      <c r="A13" s="27"/>
      <c r="B13" s="8" t="s">
        <v>14</v>
      </c>
      <c r="C13" s="44">
        <v>300</v>
      </c>
      <c r="D13" s="18">
        <v>500</v>
      </c>
      <c r="E13" s="6" t="s">
        <v>165</v>
      </c>
      <c r="F13" s="41" t="s">
        <v>164</v>
      </c>
      <c r="G13" s="7">
        <v>63</v>
      </c>
      <c r="H13" s="27"/>
    </row>
    <row r="14" spans="1:8" x14ac:dyDescent="0.15">
      <c r="A14" s="27"/>
      <c r="B14" s="8" t="s">
        <v>37</v>
      </c>
      <c r="C14" s="44"/>
      <c r="D14" s="18"/>
      <c r="E14" s="6"/>
      <c r="F14" s="41"/>
      <c r="G14" s="7"/>
      <c r="H14" s="27"/>
    </row>
    <row r="15" spans="1:8" x14ac:dyDescent="0.15">
      <c r="A15" s="27"/>
      <c r="B15" s="8"/>
      <c r="C15" s="45"/>
      <c r="D15" s="18"/>
      <c r="E15" s="6"/>
      <c r="F15" s="6"/>
      <c r="G15" s="7"/>
      <c r="H15" s="27"/>
    </row>
    <row r="16" spans="1:8" ht="14.25" thickBot="1" x14ac:dyDescent="0.2">
      <c r="A16" s="27"/>
      <c r="B16" s="15" t="s">
        <v>52</v>
      </c>
      <c r="C16" s="48">
        <f>SUM(C13:C15)</f>
        <v>300</v>
      </c>
      <c r="D16" s="26">
        <f>SUM(D13:D15)</f>
        <v>500</v>
      </c>
      <c r="E16" s="10"/>
      <c r="F16" s="3"/>
      <c r="G16" s="3">
        <f>SUM(G13:G15)</f>
        <v>63</v>
      </c>
      <c r="H16" s="27"/>
    </row>
    <row r="17" spans="1:8" x14ac:dyDescent="0.15">
      <c r="A17" s="27"/>
      <c r="B17" s="27"/>
      <c r="C17" s="40"/>
      <c r="D17" s="27"/>
      <c r="E17" s="32"/>
      <c r="F17" s="32"/>
      <c r="G17" s="27"/>
      <c r="H17" s="27"/>
    </row>
    <row r="18" spans="1:8" ht="14.25" thickBot="1" x14ac:dyDescent="0.2">
      <c r="A18" s="27"/>
      <c r="B18" s="33" t="s">
        <v>65</v>
      </c>
      <c r="C18" s="40"/>
      <c r="D18" s="27"/>
      <c r="E18" s="32"/>
      <c r="F18" s="32" t="s">
        <v>20</v>
      </c>
      <c r="G18" s="27"/>
      <c r="H18" s="27"/>
    </row>
    <row r="19" spans="1:8" x14ac:dyDescent="0.15">
      <c r="A19" s="27"/>
      <c r="B19" s="4" t="s">
        <v>51</v>
      </c>
      <c r="C19" s="47" t="s">
        <v>105</v>
      </c>
      <c r="D19" s="17" t="s">
        <v>60</v>
      </c>
      <c r="E19" s="1" t="s">
        <v>62</v>
      </c>
      <c r="F19" s="1" t="s">
        <v>36</v>
      </c>
      <c r="G19" s="27"/>
      <c r="H19" s="27"/>
    </row>
    <row r="20" spans="1:8" x14ac:dyDescent="0.15">
      <c r="A20" s="27"/>
      <c r="B20" s="8" t="s">
        <v>58</v>
      </c>
      <c r="C20" s="44">
        <f>シート１!AD25</f>
        <v>100</v>
      </c>
      <c r="D20" s="49" t="s">
        <v>164</v>
      </c>
      <c r="E20" s="41" t="s">
        <v>166</v>
      </c>
      <c r="F20" s="6">
        <v>81</v>
      </c>
      <c r="G20" s="27"/>
      <c r="H20" s="27"/>
    </row>
    <row r="21" spans="1:8" x14ac:dyDescent="0.15">
      <c r="A21" s="27"/>
      <c r="B21" s="8" t="s">
        <v>37</v>
      </c>
      <c r="C21" s="44"/>
      <c r="D21" s="49"/>
      <c r="E21" s="41"/>
      <c r="F21" s="6"/>
      <c r="G21" s="27"/>
      <c r="H21" s="27"/>
    </row>
    <row r="22" spans="1:8" x14ac:dyDescent="0.15">
      <c r="A22" s="27"/>
      <c r="B22" s="8"/>
      <c r="C22" s="45"/>
      <c r="D22" s="49"/>
      <c r="E22" s="6"/>
      <c r="F22" s="6"/>
      <c r="G22" s="27"/>
      <c r="H22" s="27"/>
    </row>
    <row r="23" spans="1:8" ht="14.25" thickBot="1" x14ac:dyDescent="0.2">
      <c r="A23" s="27"/>
      <c r="B23" s="15" t="s">
        <v>52</v>
      </c>
      <c r="C23" s="48">
        <f>SUM(C20:C22)</f>
        <v>100</v>
      </c>
      <c r="D23" s="10"/>
      <c r="E23" s="3"/>
      <c r="F23" s="3">
        <f>SUM(F20:F22)</f>
        <v>81</v>
      </c>
      <c r="G23" s="27"/>
      <c r="H23" s="27"/>
    </row>
    <row r="24" spans="1:8" x14ac:dyDescent="0.15">
      <c r="A24" s="27"/>
      <c r="B24" s="27"/>
      <c r="C24" s="40"/>
      <c r="D24" s="27"/>
      <c r="E24" s="27"/>
      <c r="F24" s="27"/>
      <c r="G24" s="27"/>
      <c r="H24" s="27"/>
    </row>
    <row r="25" spans="1:8" x14ac:dyDescent="0.15">
      <c r="A25" s="27"/>
      <c r="B25" s="27"/>
      <c r="C25" s="40"/>
      <c r="D25" s="27"/>
      <c r="E25" s="27"/>
      <c r="F25" s="27"/>
      <c r="G25" s="27"/>
      <c r="H25" s="27"/>
    </row>
  </sheetData>
  <sheetProtection password="DB61" sheet="1"/>
  <mergeCells count="1">
    <mergeCell ref="E2:F3"/>
  </mergeCells>
  <phoneticPr fontId="9"/>
  <pageMargins left="0.25" right="0.25" top="0.75" bottom="0.75" header="0.3" footer="0.3"/>
  <pageSetup paperSize="9"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9"/>
  <sheetViews>
    <sheetView topLeftCell="A28" zoomScaleNormal="100" workbookViewId="0">
      <selection activeCell="J9" sqref="J9"/>
    </sheetView>
  </sheetViews>
  <sheetFormatPr defaultRowHeight="13.5" x14ac:dyDescent="0.15"/>
  <cols>
    <col min="1" max="1" width="2.5" customWidth="1"/>
    <col min="2" max="3" width="10.625" customWidth="1"/>
    <col min="4" max="4" width="15.625" customWidth="1"/>
    <col min="5" max="5" width="22.625" customWidth="1"/>
    <col min="6" max="6" width="20.625" hidden="1" customWidth="1"/>
    <col min="7" max="8" width="22.625" customWidth="1"/>
    <col min="9" max="9" width="3.25" customWidth="1"/>
  </cols>
  <sheetData>
    <row r="1" spans="1:10" x14ac:dyDescent="0.15">
      <c r="A1" s="30" t="s">
        <v>157</v>
      </c>
      <c r="B1" s="27"/>
      <c r="C1" s="27"/>
      <c r="D1" s="27"/>
      <c r="E1" s="39" t="s">
        <v>161</v>
      </c>
      <c r="F1" s="27"/>
      <c r="G1" s="27"/>
      <c r="H1" s="27"/>
      <c r="I1" s="27"/>
    </row>
    <row r="2" spans="1:10" x14ac:dyDescent="0.15">
      <c r="A2" s="27"/>
      <c r="B2" s="27"/>
      <c r="C2" s="27"/>
      <c r="D2" s="27"/>
      <c r="E2" s="27"/>
      <c r="F2" s="27"/>
      <c r="G2" s="38"/>
      <c r="H2" s="31" t="s">
        <v>154</v>
      </c>
      <c r="I2" s="27"/>
    </row>
    <row r="3" spans="1:10" ht="24" customHeight="1" x14ac:dyDescent="0.15">
      <c r="A3" s="27"/>
      <c r="B3" s="27"/>
      <c r="C3" s="491" t="s">
        <v>116</v>
      </c>
      <c r="D3" s="491"/>
      <c r="E3" s="13" t="s">
        <v>162</v>
      </c>
      <c r="F3" s="13"/>
      <c r="G3" s="13" t="s">
        <v>118</v>
      </c>
      <c r="H3" s="13" t="s">
        <v>163</v>
      </c>
      <c r="I3" s="27"/>
    </row>
    <row r="4" spans="1:10" ht="24" customHeight="1" x14ac:dyDescent="0.15">
      <c r="A4" s="27"/>
      <c r="B4" s="27"/>
      <c r="C4" s="491"/>
      <c r="D4" s="491"/>
      <c r="E4" s="21">
        <f>シート１!AC25*10000</f>
        <v>1000000</v>
      </c>
      <c r="F4" s="22"/>
      <c r="G4" s="22">
        <f>シート１!AC22</f>
        <v>0.05</v>
      </c>
      <c r="H4" s="50">
        <f>シート１!AH23</f>
        <v>180</v>
      </c>
      <c r="I4" s="27"/>
    </row>
    <row r="5" spans="1:10" x14ac:dyDescent="0.15">
      <c r="A5" s="27"/>
      <c r="B5" s="27"/>
      <c r="C5" s="27"/>
      <c r="D5" s="27"/>
      <c r="E5" s="27"/>
      <c r="F5" s="27"/>
      <c r="G5" s="27"/>
      <c r="H5" s="27"/>
      <c r="I5" s="27"/>
    </row>
    <row r="6" spans="1:10" x14ac:dyDescent="0.15">
      <c r="A6" s="27"/>
      <c r="B6" s="35"/>
      <c r="C6" s="492" t="s">
        <v>120</v>
      </c>
      <c r="D6" s="492"/>
      <c r="E6" s="14" t="s">
        <v>121</v>
      </c>
      <c r="F6" s="14"/>
      <c r="G6" s="14" t="s">
        <v>127</v>
      </c>
      <c r="H6" s="14" t="s">
        <v>122</v>
      </c>
      <c r="I6" s="27"/>
    </row>
    <row r="7" spans="1:10" x14ac:dyDescent="0.15">
      <c r="A7" s="27"/>
      <c r="B7" s="36"/>
      <c r="C7" s="492"/>
      <c r="D7" s="492"/>
      <c r="E7" s="21">
        <f>-PMT(G4/12,H4,E4)</f>
        <v>7907.9362674154454</v>
      </c>
      <c r="F7" s="25"/>
      <c r="G7" s="23">
        <f>+E7*12</f>
        <v>94895.235208985338</v>
      </c>
      <c r="H7" s="24">
        <f>+E7*H4</f>
        <v>1423428.5281347802</v>
      </c>
      <c r="I7" s="27"/>
    </row>
    <row r="8" spans="1:10" x14ac:dyDescent="0.15">
      <c r="A8" s="27"/>
      <c r="B8" s="37"/>
      <c r="C8" s="14" t="s">
        <v>123</v>
      </c>
      <c r="D8" s="14" t="s">
        <v>121</v>
      </c>
      <c r="E8" s="14" t="s">
        <v>124</v>
      </c>
      <c r="F8" s="14" t="s">
        <v>125</v>
      </c>
      <c r="G8" s="20" t="s">
        <v>126</v>
      </c>
      <c r="H8" s="14" t="s">
        <v>153</v>
      </c>
      <c r="I8" s="27"/>
      <c r="J8" s="173"/>
    </row>
    <row r="9" spans="1:10" x14ac:dyDescent="0.15">
      <c r="A9" s="27"/>
      <c r="B9" s="490" t="s">
        <v>128</v>
      </c>
      <c r="C9" s="12">
        <v>1</v>
      </c>
      <c r="D9" s="21">
        <f>$E$7</f>
        <v>7907.9362674154454</v>
      </c>
      <c r="E9" s="11">
        <f>-PPMT($G$4/12,$C9,$H$4,$E$4)</f>
        <v>3741.2696007487789</v>
      </c>
      <c r="F9" s="11">
        <f>-IPMT($G$4/12,$C9,$H$4,$E$4)</f>
        <v>4166.666666666667</v>
      </c>
      <c r="G9" s="19">
        <f>$E$4-SUM($E$9:E9)</f>
        <v>996258.73039925122</v>
      </c>
      <c r="H9" s="493">
        <f>+G20</f>
        <v>954061.49121722998</v>
      </c>
      <c r="I9" s="27"/>
    </row>
    <row r="10" spans="1:10" x14ac:dyDescent="0.15">
      <c r="A10" s="27"/>
      <c r="B10" s="490"/>
      <c r="C10" s="12">
        <v>2</v>
      </c>
      <c r="D10" s="21">
        <f>IF(G9&lt;0.1,0,$E$7)</f>
        <v>7907.9362674154454</v>
      </c>
      <c r="E10" s="11">
        <f>-PPMT($G$4/12,$C10,$H$4,$E$4)</f>
        <v>3756.8582240852329</v>
      </c>
      <c r="F10" s="11">
        <f t="shared" ref="F10:F73" si="0">-IPMT($G$4/12,$C10,$H$4,$E$4)</f>
        <v>4151.0780433302125</v>
      </c>
      <c r="G10" s="19">
        <f>IF(G9&lt;0.1,0,$E$4-SUM($E$9:E10))</f>
        <v>992501.87217516603</v>
      </c>
      <c r="H10" s="494"/>
      <c r="I10" s="27"/>
    </row>
    <row r="11" spans="1:10" x14ac:dyDescent="0.15">
      <c r="A11" s="27"/>
      <c r="B11" s="490"/>
      <c r="C11" s="12">
        <v>3</v>
      </c>
      <c r="D11" s="21">
        <f t="shared" ref="D11:D74" si="1">IF(G10&lt;0.1,0,$E$7)</f>
        <v>7907.9362674154454</v>
      </c>
      <c r="E11" s="11">
        <f t="shared" ref="E11:E73" si="2">-PPMT($G$4/12,$C11,$H$4,$E$4)</f>
        <v>3772.5118000189204</v>
      </c>
      <c r="F11" s="11">
        <f t="shared" si="0"/>
        <v>4135.424467396525</v>
      </c>
      <c r="G11" s="19">
        <f>IF(G10&lt;0.1,0,$E$4-SUM($E$9:E11))</f>
        <v>988729.36037514708</v>
      </c>
      <c r="H11" s="494"/>
      <c r="I11" s="27"/>
    </row>
    <row r="12" spans="1:10" x14ac:dyDescent="0.15">
      <c r="A12" s="27"/>
      <c r="B12" s="490"/>
      <c r="C12" s="12">
        <v>4</v>
      </c>
      <c r="D12" s="21">
        <f t="shared" si="1"/>
        <v>7907.9362674154454</v>
      </c>
      <c r="E12" s="11">
        <f t="shared" si="2"/>
        <v>3788.2305991856661</v>
      </c>
      <c r="F12" s="11">
        <f t="shared" si="0"/>
        <v>4119.7056682297798</v>
      </c>
      <c r="G12" s="19">
        <f>IF(G11&lt;0.1,0,$E$4-SUM($E$9:E12))</f>
        <v>984941.1297759614</v>
      </c>
      <c r="H12" s="494"/>
      <c r="I12" s="27"/>
    </row>
    <row r="13" spans="1:10" x14ac:dyDescent="0.15">
      <c r="A13" s="27"/>
      <c r="B13" s="490"/>
      <c r="C13" s="12">
        <v>5</v>
      </c>
      <c r="D13" s="21">
        <f t="shared" si="1"/>
        <v>7907.9362674154454</v>
      </c>
      <c r="E13" s="11">
        <f t="shared" si="2"/>
        <v>3804.0148933489399</v>
      </c>
      <c r="F13" s="11">
        <f t="shared" si="0"/>
        <v>4103.9213740665055</v>
      </c>
      <c r="G13" s="19">
        <f>IF(G12&lt;0.1,0,$E$4-SUM($E$9:E13))</f>
        <v>981137.11488261248</v>
      </c>
      <c r="H13" s="494"/>
      <c r="I13" s="27"/>
    </row>
    <row r="14" spans="1:10" x14ac:dyDescent="0.15">
      <c r="A14" s="27"/>
      <c r="B14" s="490"/>
      <c r="C14" s="12">
        <v>6</v>
      </c>
      <c r="D14" s="21">
        <f t="shared" si="1"/>
        <v>7907.9362674154454</v>
      </c>
      <c r="E14" s="11">
        <f t="shared" si="2"/>
        <v>3819.8649554045605</v>
      </c>
      <c r="F14" s="11">
        <f t="shared" si="0"/>
        <v>4088.0713120108853</v>
      </c>
      <c r="G14" s="19">
        <f>IF(G13&lt;0.1,0,$E$4-SUM($E$9:E14))</f>
        <v>977317.24992720794</v>
      </c>
      <c r="H14" s="494"/>
      <c r="I14" s="27"/>
    </row>
    <row r="15" spans="1:10" x14ac:dyDescent="0.15">
      <c r="A15" s="27"/>
      <c r="B15" s="490"/>
      <c r="C15" s="12">
        <v>7</v>
      </c>
      <c r="D15" s="21">
        <f t="shared" si="1"/>
        <v>7907.9362674154454</v>
      </c>
      <c r="E15" s="11">
        <f t="shared" si="2"/>
        <v>3835.7810593854124</v>
      </c>
      <c r="F15" s="11">
        <f t="shared" si="0"/>
        <v>4072.155208030033</v>
      </c>
      <c r="G15" s="19">
        <f>IF(G14&lt;0.1,0,$E$4-SUM($E$9:E15))</f>
        <v>973481.46886782243</v>
      </c>
      <c r="H15" s="494"/>
      <c r="I15" s="27"/>
    </row>
    <row r="16" spans="1:10" x14ac:dyDescent="0.15">
      <c r="A16" s="27"/>
      <c r="B16" s="490"/>
      <c r="C16" s="12">
        <v>8</v>
      </c>
      <c r="D16" s="21">
        <f t="shared" si="1"/>
        <v>7907.9362674154454</v>
      </c>
      <c r="E16" s="11">
        <f t="shared" si="2"/>
        <v>3851.7634804661852</v>
      </c>
      <c r="F16" s="11">
        <f t="shared" si="0"/>
        <v>4056.1727869492611</v>
      </c>
      <c r="G16" s="19">
        <f>IF(G15&lt;0.1,0,$E$4-SUM($E$9:E16))</f>
        <v>969629.70538735634</v>
      </c>
      <c r="H16" s="494"/>
      <c r="I16" s="27"/>
    </row>
    <row r="17" spans="1:9" x14ac:dyDescent="0.15">
      <c r="A17" s="27"/>
      <c r="B17" s="490"/>
      <c r="C17" s="12">
        <v>9</v>
      </c>
      <c r="D17" s="21">
        <f t="shared" si="1"/>
        <v>7907.9362674154454</v>
      </c>
      <c r="E17" s="11">
        <f t="shared" si="2"/>
        <v>3867.8124949681278</v>
      </c>
      <c r="F17" s="11">
        <f t="shared" si="0"/>
        <v>4040.1237724473181</v>
      </c>
      <c r="G17" s="19">
        <f>IF(G16&lt;0.1,0,$E$4-SUM($E$9:E17))</f>
        <v>965761.89289238816</v>
      </c>
      <c r="H17" s="494"/>
      <c r="I17" s="27"/>
    </row>
    <row r="18" spans="1:9" x14ac:dyDescent="0.15">
      <c r="A18" s="27"/>
      <c r="B18" s="490"/>
      <c r="C18" s="12">
        <v>10</v>
      </c>
      <c r="D18" s="21">
        <f t="shared" si="1"/>
        <v>7907.9362674154454</v>
      </c>
      <c r="E18" s="11">
        <f t="shared" si="2"/>
        <v>3883.9283803638282</v>
      </c>
      <c r="F18" s="11">
        <f t="shared" si="0"/>
        <v>4024.0078870516177</v>
      </c>
      <c r="G18" s="19">
        <f>IF(G17&lt;0.1,0,$E$4-SUM($E$9:E18))</f>
        <v>961877.96451202431</v>
      </c>
      <c r="H18" s="494"/>
      <c r="I18" s="27"/>
    </row>
    <row r="19" spans="1:9" x14ac:dyDescent="0.15">
      <c r="A19" s="27"/>
      <c r="B19" s="490"/>
      <c r="C19" s="12">
        <v>11</v>
      </c>
      <c r="D19" s="21">
        <f t="shared" si="1"/>
        <v>7907.9362674154454</v>
      </c>
      <c r="E19" s="11">
        <f t="shared" si="2"/>
        <v>3900.111415282011</v>
      </c>
      <c r="F19" s="11">
        <f t="shared" si="0"/>
        <v>4007.824852133434</v>
      </c>
      <c r="G19" s="19">
        <f>IF(G18&lt;0.1,0,$E$4-SUM($E$9:E19))</f>
        <v>957977.8530967423</v>
      </c>
      <c r="H19" s="494"/>
      <c r="I19" s="27"/>
    </row>
    <row r="20" spans="1:9" ht="14.25" thickBot="1" x14ac:dyDescent="0.2">
      <c r="A20" s="27"/>
      <c r="B20" s="490"/>
      <c r="C20" s="12">
        <v>12</v>
      </c>
      <c r="D20" s="21">
        <f t="shared" si="1"/>
        <v>7907.9362674154454</v>
      </c>
      <c r="E20" s="11">
        <f t="shared" si="2"/>
        <v>3916.361879512353</v>
      </c>
      <c r="F20" s="11">
        <f t="shared" si="0"/>
        <v>3991.5743879030924</v>
      </c>
      <c r="G20" s="19">
        <f>IF(G19&lt;0.1,0,$E$4-SUM($E$9:E20))</f>
        <v>954061.49121722998</v>
      </c>
      <c r="H20" s="495"/>
      <c r="I20" s="27"/>
    </row>
    <row r="21" spans="1:9" x14ac:dyDescent="0.15">
      <c r="A21" s="27"/>
      <c r="B21" s="490" t="s">
        <v>129</v>
      </c>
      <c r="C21" s="12">
        <v>13</v>
      </c>
      <c r="D21" s="21">
        <f t="shared" si="1"/>
        <v>7907.9362674154454</v>
      </c>
      <c r="E21" s="11">
        <f t="shared" si="2"/>
        <v>3932.6800540103209</v>
      </c>
      <c r="F21" s="11">
        <f t="shared" si="0"/>
        <v>3975.2562134051245</v>
      </c>
      <c r="G21" s="19">
        <f>IF(G20&lt;0.1,0,$E$4-SUM($E$9:E21))</f>
        <v>950128.81116321962</v>
      </c>
      <c r="H21" s="496">
        <f>+G32</f>
        <v>905772.68113927683</v>
      </c>
      <c r="I21" s="27"/>
    </row>
    <row r="22" spans="1:9" x14ac:dyDescent="0.15">
      <c r="A22" s="27"/>
      <c r="B22" s="490"/>
      <c r="C22" s="12">
        <v>14</v>
      </c>
      <c r="D22" s="21">
        <f t="shared" si="1"/>
        <v>7907.9362674154454</v>
      </c>
      <c r="E22" s="11">
        <f t="shared" si="2"/>
        <v>3949.0662209020306</v>
      </c>
      <c r="F22" s="11">
        <f t="shared" si="0"/>
        <v>3958.8700465134157</v>
      </c>
      <c r="G22" s="19">
        <f>IF(G21&lt;0.1,0,$E$4-SUM($E$9:E22))</f>
        <v>946179.7449423176</v>
      </c>
      <c r="H22" s="494"/>
      <c r="I22" s="27"/>
    </row>
    <row r="23" spans="1:9" x14ac:dyDescent="0.15">
      <c r="A23" s="27"/>
      <c r="B23" s="490"/>
      <c r="C23" s="12">
        <v>15</v>
      </c>
      <c r="D23" s="21">
        <f t="shared" si="1"/>
        <v>7907.9362674154454</v>
      </c>
      <c r="E23" s="11">
        <f t="shared" si="2"/>
        <v>3965.5206634891219</v>
      </c>
      <c r="F23" s="11">
        <f t="shared" si="0"/>
        <v>3942.4156039263235</v>
      </c>
      <c r="G23" s="19">
        <f>IF(G22&lt;0.1,0,$E$4-SUM($E$9:E23))</f>
        <v>942214.22427882848</v>
      </c>
      <c r="H23" s="494"/>
      <c r="I23" s="27"/>
    </row>
    <row r="24" spans="1:9" x14ac:dyDescent="0.15">
      <c r="A24" s="27"/>
      <c r="B24" s="490"/>
      <c r="C24" s="12">
        <v>16</v>
      </c>
      <c r="D24" s="21">
        <f t="shared" si="1"/>
        <v>7907.9362674154454</v>
      </c>
      <c r="E24" s="11">
        <f t="shared" si="2"/>
        <v>3982.0436662536599</v>
      </c>
      <c r="F24" s="11">
        <f t="shared" si="0"/>
        <v>3925.8926011617846</v>
      </c>
      <c r="G24" s="19">
        <f>IF(G23&lt;0.1,0,$E$4-SUM($E$9:E24))</f>
        <v>938232.1806125748</v>
      </c>
      <c r="H24" s="494"/>
      <c r="I24" s="27"/>
    </row>
    <row r="25" spans="1:9" x14ac:dyDescent="0.15">
      <c r="A25" s="27"/>
      <c r="B25" s="490"/>
      <c r="C25" s="12">
        <v>17</v>
      </c>
      <c r="D25" s="21">
        <f t="shared" si="1"/>
        <v>7907.9362674154454</v>
      </c>
      <c r="E25" s="11">
        <f t="shared" si="2"/>
        <v>3998.6355148630505</v>
      </c>
      <c r="F25" s="11">
        <f t="shared" si="0"/>
        <v>3909.3007525523954</v>
      </c>
      <c r="G25" s="19">
        <f>IF(G24&lt;0.1,0,$E$4-SUM($E$9:E25))</f>
        <v>934233.54509771185</v>
      </c>
      <c r="H25" s="494"/>
      <c r="I25" s="27"/>
    </row>
    <row r="26" spans="1:9" x14ac:dyDescent="0.15">
      <c r="A26" s="27"/>
      <c r="B26" s="490"/>
      <c r="C26" s="12">
        <v>18</v>
      </c>
      <c r="D26" s="21">
        <f t="shared" si="1"/>
        <v>7907.9362674154454</v>
      </c>
      <c r="E26" s="11">
        <f t="shared" si="2"/>
        <v>4015.2964961749803</v>
      </c>
      <c r="F26" s="11">
        <f t="shared" si="0"/>
        <v>3892.6397712404664</v>
      </c>
      <c r="G26" s="19">
        <f>IF(G25&lt;0.1,0,$E$4-SUM($E$9:E26))</f>
        <v>930218.24860153685</v>
      </c>
      <c r="H26" s="494"/>
      <c r="I26" s="27"/>
    </row>
    <row r="27" spans="1:9" x14ac:dyDescent="0.15">
      <c r="A27" s="27"/>
      <c r="B27" s="490"/>
      <c r="C27" s="12">
        <v>19</v>
      </c>
      <c r="D27" s="21">
        <f t="shared" si="1"/>
        <v>7907.9362674154454</v>
      </c>
      <c r="E27" s="11">
        <f t="shared" si="2"/>
        <v>4032.0268982423759</v>
      </c>
      <c r="F27" s="11">
        <f t="shared" si="0"/>
        <v>3875.9093691730704</v>
      </c>
      <c r="G27" s="19">
        <f>IF(G26&lt;0.1,0,$E$4-SUM($E$9:E27))</f>
        <v>926186.22170329443</v>
      </c>
      <c r="H27" s="494"/>
      <c r="I27" s="27"/>
    </row>
    <row r="28" spans="1:9" x14ac:dyDescent="0.15">
      <c r="A28" s="27"/>
      <c r="B28" s="490"/>
      <c r="C28" s="12">
        <v>20</v>
      </c>
      <c r="D28" s="21">
        <f t="shared" si="1"/>
        <v>7907.9362674154454</v>
      </c>
      <c r="E28" s="11">
        <f t="shared" si="2"/>
        <v>4048.827010318385</v>
      </c>
      <c r="F28" s="11">
        <f t="shared" si="0"/>
        <v>3859.10925709706</v>
      </c>
      <c r="G28" s="19">
        <f>IF(G27&lt;0.1,0,$E$4-SUM($E$9:E28))</f>
        <v>922137.39469297603</v>
      </c>
      <c r="H28" s="494"/>
      <c r="I28" s="27"/>
    </row>
    <row r="29" spans="1:9" x14ac:dyDescent="0.15">
      <c r="A29" s="27"/>
      <c r="B29" s="490"/>
      <c r="C29" s="12">
        <v>21</v>
      </c>
      <c r="D29" s="21">
        <f t="shared" si="1"/>
        <v>7907.9362674154454</v>
      </c>
      <c r="E29" s="11">
        <f t="shared" si="2"/>
        <v>4065.6971228613793</v>
      </c>
      <c r="F29" s="11">
        <f t="shared" si="0"/>
        <v>3842.2391445540666</v>
      </c>
      <c r="G29" s="19">
        <f>IF(G28&lt;0.1,0,$E$4-SUM($E$9:E29))</f>
        <v>918071.69757011463</v>
      </c>
      <c r="H29" s="494"/>
      <c r="I29" s="27"/>
    </row>
    <row r="30" spans="1:9" x14ac:dyDescent="0.15">
      <c r="A30" s="27"/>
      <c r="B30" s="490"/>
      <c r="C30" s="12">
        <v>22</v>
      </c>
      <c r="D30" s="21">
        <f t="shared" si="1"/>
        <v>7907.9362674154454</v>
      </c>
      <c r="E30" s="11">
        <f t="shared" si="2"/>
        <v>4082.6375275399682</v>
      </c>
      <c r="F30" s="11">
        <f t="shared" si="0"/>
        <v>3825.2987398754776</v>
      </c>
      <c r="G30" s="19">
        <f>IF(G29&lt;0.1,0,$E$4-SUM($E$9:E30))</f>
        <v>913989.06004257477</v>
      </c>
      <c r="H30" s="494"/>
      <c r="I30" s="27"/>
    </row>
    <row r="31" spans="1:9" x14ac:dyDescent="0.15">
      <c r="A31" s="27"/>
      <c r="B31" s="490"/>
      <c r="C31" s="12">
        <v>23</v>
      </c>
      <c r="D31" s="21">
        <f t="shared" si="1"/>
        <v>7907.9362674154454</v>
      </c>
      <c r="E31" s="11">
        <f t="shared" si="2"/>
        <v>4099.6485172380517</v>
      </c>
      <c r="F31" s="11">
        <f t="shared" si="0"/>
        <v>3808.2877501773937</v>
      </c>
      <c r="G31" s="19">
        <f>IF(G30&lt;0.1,0,$E$4-SUM($E$9:E31))</f>
        <v>909889.41152533668</v>
      </c>
      <c r="H31" s="494"/>
      <c r="I31" s="27"/>
    </row>
    <row r="32" spans="1:9" ht="14.25" thickBot="1" x14ac:dyDescent="0.2">
      <c r="A32" s="27"/>
      <c r="B32" s="490"/>
      <c r="C32" s="12">
        <v>24</v>
      </c>
      <c r="D32" s="21">
        <f t="shared" si="1"/>
        <v>7907.9362674154454</v>
      </c>
      <c r="E32" s="11">
        <f t="shared" si="2"/>
        <v>4116.7303860598768</v>
      </c>
      <c r="F32" s="11">
        <f t="shared" si="0"/>
        <v>3791.2058813555691</v>
      </c>
      <c r="G32" s="19">
        <f>IF(G31&lt;0.1,0,$E$4-SUM($E$9:E32))</f>
        <v>905772.68113927683</v>
      </c>
      <c r="H32" s="495"/>
      <c r="I32" s="27"/>
    </row>
    <row r="33" spans="1:9" x14ac:dyDescent="0.15">
      <c r="A33" s="27"/>
      <c r="B33" s="490" t="s">
        <v>130</v>
      </c>
      <c r="C33" s="12">
        <v>25</v>
      </c>
      <c r="D33" s="21">
        <f t="shared" si="1"/>
        <v>7907.9362674154454</v>
      </c>
      <c r="E33" s="11">
        <f t="shared" si="2"/>
        <v>4133.8834293351265</v>
      </c>
      <c r="F33" s="11">
        <f t="shared" si="0"/>
        <v>3774.0528380803207</v>
      </c>
      <c r="G33" s="19">
        <f>IF(G32&lt;0.1,0,$E$4-SUM($E$9:E33))</f>
        <v>901638.79770994163</v>
      </c>
      <c r="H33" s="496">
        <f>+G44</f>
        <v>855013.32389128499</v>
      </c>
      <c r="I33" s="27"/>
    </row>
    <row r="34" spans="1:9" x14ac:dyDescent="0.15">
      <c r="A34" s="27"/>
      <c r="B34" s="490"/>
      <c r="C34" s="12">
        <v>26</v>
      </c>
      <c r="D34" s="21">
        <f t="shared" si="1"/>
        <v>7907.9362674154454</v>
      </c>
      <c r="E34" s="11">
        <f t="shared" si="2"/>
        <v>4151.1079436240225</v>
      </c>
      <c r="F34" s="11">
        <f t="shared" si="0"/>
        <v>3756.8283237914234</v>
      </c>
      <c r="G34" s="19">
        <f>IF(G33&lt;0.1,0,$E$4-SUM($E$9:E34))</f>
        <v>897487.68976631761</v>
      </c>
      <c r="H34" s="494"/>
      <c r="I34" s="27"/>
    </row>
    <row r="35" spans="1:9" x14ac:dyDescent="0.15">
      <c r="A35" s="27"/>
      <c r="B35" s="490"/>
      <c r="C35" s="12">
        <v>27</v>
      </c>
      <c r="D35" s="21">
        <f t="shared" si="1"/>
        <v>7907.9362674154454</v>
      </c>
      <c r="E35" s="11">
        <f t="shared" si="2"/>
        <v>4168.4042267224559</v>
      </c>
      <c r="F35" s="11">
        <f t="shared" si="0"/>
        <v>3739.53204069299</v>
      </c>
      <c r="G35" s="19">
        <f>IF(G34&lt;0.1,0,$E$4-SUM($E$9:E35))</f>
        <v>893319.28553959518</v>
      </c>
      <c r="H35" s="494"/>
      <c r="I35" s="27"/>
    </row>
    <row r="36" spans="1:9" x14ac:dyDescent="0.15">
      <c r="A36" s="27"/>
      <c r="B36" s="490"/>
      <c r="C36" s="12">
        <v>28</v>
      </c>
      <c r="D36" s="21">
        <f t="shared" si="1"/>
        <v>7907.9362674154454</v>
      </c>
      <c r="E36" s="11">
        <f t="shared" si="2"/>
        <v>4185.7725776671323</v>
      </c>
      <c r="F36" s="11">
        <f t="shared" si="0"/>
        <v>3722.1636897483136</v>
      </c>
      <c r="G36" s="19">
        <f>IF(G35&lt;0.1,0,$E$4-SUM($E$9:E36))</f>
        <v>889133.51296192803</v>
      </c>
      <c r="H36" s="494"/>
      <c r="I36" s="27"/>
    </row>
    <row r="37" spans="1:9" x14ac:dyDescent="0.15">
      <c r="A37" s="27"/>
      <c r="B37" s="490"/>
      <c r="C37" s="12">
        <v>29</v>
      </c>
      <c r="D37" s="21">
        <f t="shared" si="1"/>
        <v>7907.9362674154454</v>
      </c>
      <c r="E37" s="11">
        <f t="shared" si="2"/>
        <v>4203.2132967407451</v>
      </c>
      <c r="F37" s="11">
        <f t="shared" si="0"/>
        <v>3704.7229706747003</v>
      </c>
      <c r="G37" s="19">
        <f>IF(G36&lt;0.1,0,$E$4-SUM($E$9:E37))</f>
        <v>884930.29966518725</v>
      </c>
      <c r="H37" s="494"/>
      <c r="I37" s="27"/>
    </row>
    <row r="38" spans="1:9" x14ac:dyDescent="0.15">
      <c r="A38" s="27"/>
      <c r="B38" s="490"/>
      <c r="C38" s="12">
        <v>30</v>
      </c>
      <c r="D38" s="21">
        <f t="shared" si="1"/>
        <v>7907.9362674154454</v>
      </c>
      <c r="E38" s="11">
        <f t="shared" si="2"/>
        <v>4220.7266854771642</v>
      </c>
      <c r="F38" s="11">
        <f t="shared" si="0"/>
        <v>3687.2095819382803</v>
      </c>
      <c r="G38" s="19">
        <f>IF(G37&lt;0.1,0,$E$4-SUM($E$9:E38))</f>
        <v>880709.57297971018</v>
      </c>
      <c r="H38" s="494"/>
      <c r="I38" s="27"/>
    </row>
    <row r="39" spans="1:9" x14ac:dyDescent="0.15">
      <c r="A39" s="27"/>
      <c r="B39" s="490"/>
      <c r="C39" s="12">
        <v>31</v>
      </c>
      <c r="D39" s="21">
        <f t="shared" si="1"/>
        <v>7907.9362674154454</v>
      </c>
      <c r="E39" s="11">
        <f t="shared" si="2"/>
        <v>4238.3130466666526</v>
      </c>
      <c r="F39" s="11">
        <f t="shared" si="0"/>
        <v>3669.6232207487919</v>
      </c>
      <c r="G39" s="19">
        <f>IF(G38&lt;0.1,0,$E$4-SUM($E$9:E39))</f>
        <v>876471.2599330435</v>
      </c>
      <c r="H39" s="494"/>
      <c r="I39" s="27"/>
    </row>
    <row r="40" spans="1:9" x14ac:dyDescent="0.15">
      <c r="A40" s="27"/>
      <c r="B40" s="490"/>
      <c r="C40" s="12">
        <v>32</v>
      </c>
      <c r="D40" s="21">
        <f t="shared" si="1"/>
        <v>7907.9362674154454</v>
      </c>
      <c r="E40" s="11">
        <f t="shared" si="2"/>
        <v>4255.9726843610979</v>
      </c>
      <c r="F40" s="11">
        <f t="shared" si="0"/>
        <v>3651.9635830543475</v>
      </c>
      <c r="G40" s="19">
        <f>IF(G39&lt;0.1,0,$E$4-SUM($E$9:E40))</f>
        <v>872215.28724868246</v>
      </c>
      <c r="H40" s="494"/>
      <c r="I40" s="27"/>
    </row>
    <row r="41" spans="1:9" x14ac:dyDescent="0.15">
      <c r="A41" s="27"/>
      <c r="B41" s="490"/>
      <c r="C41" s="12">
        <v>33</v>
      </c>
      <c r="D41" s="21">
        <f t="shared" si="1"/>
        <v>7907.9362674154454</v>
      </c>
      <c r="E41" s="11">
        <f t="shared" si="2"/>
        <v>4273.7059038792686</v>
      </c>
      <c r="F41" s="11">
        <f t="shared" si="0"/>
        <v>3634.2303635361764</v>
      </c>
      <c r="G41" s="19">
        <f>IF(G40&lt;0.1,0,$E$4-SUM($E$9:E41))</f>
        <v>867941.5813448031</v>
      </c>
      <c r="H41" s="494"/>
      <c r="I41" s="27"/>
    </row>
    <row r="42" spans="1:9" x14ac:dyDescent="0.15">
      <c r="A42" s="27"/>
      <c r="B42" s="490"/>
      <c r="C42" s="12">
        <v>34</v>
      </c>
      <c r="D42" s="21">
        <f t="shared" si="1"/>
        <v>7907.9362674154454</v>
      </c>
      <c r="E42" s="11">
        <f t="shared" si="2"/>
        <v>4291.5130118120996</v>
      </c>
      <c r="F42" s="11">
        <f t="shared" si="0"/>
        <v>3616.4232556033467</v>
      </c>
      <c r="G42" s="19">
        <f>IF(G41&lt;0.1,0,$E$4-SUM($E$9:E42))</f>
        <v>863650.0683329911</v>
      </c>
      <c r="H42" s="494"/>
      <c r="I42" s="27"/>
    </row>
    <row r="43" spans="1:9" x14ac:dyDescent="0.15">
      <c r="A43" s="27"/>
      <c r="B43" s="490"/>
      <c r="C43" s="12">
        <v>35</v>
      </c>
      <c r="D43" s="21">
        <f t="shared" si="1"/>
        <v>7907.9362674154454</v>
      </c>
      <c r="E43" s="11">
        <f t="shared" si="2"/>
        <v>4309.3943160279841</v>
      </c>
      <c r="F43" s="11">
        <f t="shared" si="0"/>
        <v>3598.5419513874626</v>
      </c>
      <c r="G43" s="19">
        <f>IF(G42&lt;0.1,0,$E$4-SUM($E$9:E43))</f>
        <v>859340.67401696299</v>
      </c>
      <c r="H43" s="494"/>
      <c r="I43" s="27"/>
    </row>
    <row r="44" spans="1:9" ht="14.25" thickBot="1" x14ac:dyDescent="0.2">
      <c r="A44" s="27"/>
      <c r="B44" s="490"/>
      <c r="C44" s="12">
        <v>36</v>
      </c>
      <c r="D44" s="21">
        <f t="shared" si="1"/>
        <v>7907.9362674154454</v>
      </c>
      <c r="E44" s="11">
        <f t="shared" si="2"/>
        <v>4327.3501256780992</v>
      </c>
      <c r="F44" s="11">
        <f t="shared" si="0"/>
        <v>3580.5861417373458</v>
      </c>
      <c r="G44" s="19">
        <f>IF(G43&lt;0.1,0,$E$4-SUM($E$9:E44))</f>
        <v>855013.32389128499</v>
      </c>
      <c r="H44" s="495"/>
      <c r="I44" s="27"/>
    </row>
    <row r="45" spans="1:9" x14ac:dyDescent="0.15">
      <c r="A45" s="27"/>
      <c r="B45" s="490" t="s">
        <v>131</v>
      </c>
      <c r="C45" s="12">
        <v>37</v>
      </c>
      <c r="D45" s="21">
        <f t="shared" si="1"/>
        <v>7907.9362674154454</v>
      </c>
      <c r="E45" s="11">
        <f t="shared" si="2"/>
        <v>4345.3807512017584</v>
      </c>
      <c r="F45" s="11">
        <f t="shared" si="0"/>
        <v>3562.555516213687</v>
      </c>
      <c r="G45" s="19">
        <f>IF(G44&lt;0.1,0,$E$4-SUM($E$9:E45))</f>
        <v>850667.94314008323</v>
      </c>
      <c r="H45" s="496">
        <f>+G56</f>
        <v>801657.02159122902</v>
      </c>
      <c r="I45" s="27"/>
    </row>
    <row r="46" spans="1:9" x14ac:dyDescent="0.15">
      <c r="A46" s="27"/>
      <c r="B46" s="490"/>
      <c r="C46" s="12">
        <v>38</v>
      </c>
      <c r="D46" s="21">
        <f t="shared" si="1"/>
        <v>7907.9362674154454</v>
      </c>
      <c r="E46" s="11">
        <f t="shared" si="2"/>
        <v>4363.4865043317659</v>
      </c>
      <c r="F46" s="11">
        <f t="shared" si="0"/>
        <v>3544.4497630836804</v>
      </c>
      <c r="G46" s="19">
        <f>IF(G45&lt;0.1,0,$E$4-SUM($E$9:E46))</f>
        <v>846304.45663575141</v>
      </c>
      <c r="H46" s="494"/>
      <c r="I46" s="27"/>
    </row>
    <row r="47" spans="1:9" x14ac:dyDescent="0.15">
      <c r="A47" s="27"/>
      <c r="B47" s="490"/>
      <c r="C47" s="12">
        <v>39</v>
      </c>
      <c r="D47" s="21">
        <f t="shared" si="1"/>
        <v>7907.9362674154454</v>
      </c>
      <c r="E47" s="11">
        <f t="shared" si="2"/>
        <v>4381.6676980998145</v>
      </c>
      <c r="F47" s="11">
        <f t="shared" si="0"/>
        <v>3526.2685693156304</v>
      </c>
      <c r="G47" s="19">
        <f>IF(G46&lt;0.1,0,$E$4-SUM($E$9:E47))</f>
        <v>841922.78893765167</v>
      </c>
      <c r="H47" s="494"/>
      <c r="I47" s="27"/>
    </row>
    <row r="48" spans="1:9" x14ac:dyDescent="0.15">
      <c r="A48" s="27"/>
      <c r="B48" s="490"/>
      <c r="C48" s="12">
        <v>40</v>
      </c>
      <c r="D48" s="21">
        <f t="shared" si="1"/>
        <v>7907.9362674154454</v>
      </c>
      <c r="E48" s="11">
        <f t="shared" si="2"/>
        <v>4399.9246468418978</v>
      </c>
      <c r="F48" s="11">
        <f t="shared" si="0"/>
        <v>3508.011620573548</v>
      </c>
      <c r="G48" s="19">
        <f>IF(G47&lt;0.1,0,$E$4-SUM($E$9:E48))</f>
        <v>837522.86429080972</v>
      </c>
      <c r="H48" s="494"/>
      <c r="I48" s="27"/>
    </row>
    <row r="49" spans="1:9" x14ac:dyDescent="0.15">
      <c r="A49" s="27"/>
      <c r="B49" s="490"/>
      <c r="C49" s="12">
        <v>41</v>
      </c>
      <c r="D49" s="21">
        <f t="shared" si="1"/>
        <v>7907.9362674154454</v>
      </c>
      <c r="E49" s="11">
        <f t="shared" si="2"/>
        <v>4418.2576662037382</v>
      </c>
      <c r="F49" s="11">
        <f t="shared" si="0"/>
        <v>3489.6786012117068</v>
      </c>
      <c r="G49" s="19">
        <f>IF(G48&lt;0.1,0,$E$4-SUM($E$9:E49))</f>
        <v>833104.60662460607</v>
      </c>
      <c r="H49" s="494"/>
      <c r="I49" s="27"/>
    </row>
    <row r="50" spans="1:9" x14ac:dyDescent="0.15">
      <c r="A50" s="27"/>
      <c r="B50" s="490"/>
      <c r="C50" s="12">
        <v>42</v>
      </c>
      <c r="D50" s="21">
        <f t="shared" si="1"/>
        <v>7907.9362674154454</v>
      </c>
      <c r="E50" s="11">
        <f t="shared" si="2"/>
        <v>4436.6670731462536</v>
      </c>
      <c r="F50" s="11">
        <f t="shared" si="0"/>
        <v>3471.2691942691908</v>
      </c>
      <c r="G50" s="19">
        <f>IF(G49&lt;0.1,0,$E$4-SUM($E$9:E50))</f>
        <v>828667.93955145974</v>
      </c>
      <c r="H50" s="494"/>
      <c r="I50" s="27"/>
    </row>
    <row r="51" spans="1:9" x14ac:dyDescent="0.15">
      <c r="A51" s="27"/>
      <c r="B51" s="490"/>
      <c r="C51" s="12">
        <v>43</v>
      </c>
      <c r="D51" s="21">
        <f t="shared" si="1"/>
        <v>7907.9362674154454</v>
      </c>
      <c r="E51" s="11">
        <f t="shared" si="2"/>
        <v>4455.1531859510305</v>
      </c>
      <c r="F51" s="11">
        <f t="shared" si="0"/>
        <v>3452.7830814644153</v>
      </c>
      <c r="G51" s="19">
        <f>IF(G50&lt;0.1,0,$E$4-SUM($E$9:E51))</f>
        <v>824212.78636550868</v>
      </c>
      <c r="H51" s="494"/>
      <c r="I51" s="27"/>
    </row>
    <row r="52" spans="1:9" x14ac:dyDescent="0.15">
      <c r="A52" s="27"/>
      <c r="B52" s="490"/>
      <c r="C52" s="12">
        <v>44</v>
      </c>
      <c r="D52" s="21">
        <f t="shared" si="1"/>
        <v>7907.9362674154454</v>
      </c>
      <c r="E52" s="11">
        <f t="shared" si="2"/>
        <v>4473.7163242258257</v>
      </c>
      <c r="F52" s="11">
        <f t="shared" si="0"/>
        <v>3434.2199431896192</v>
      </c>
      <c r="G52" s="19">
        <f>IF(G51&lt;0.1,0,$E$4-SUM($E$9:E52))</f>
        <v>819739.07004128292</v>
      </c>
      <c r="H52" s="494"/>
      <c r="I52" s="27"/>
    </row>
    <row r="53" spans="1:9" x14ac:dyDescent="0.15">
      <c r="A53" s="27"/>
      <c r="B53" s="490"/>
      <c r="C53" s="12">
        <v>45</v>
      </c>
      <c r="D53" s="21">
        <f t="shared" si="1"/>
        <v>7907.9362674154454</v>
      </c>
      <c r="E53" s="11">
        <f t="shared" si="2"/>
        <v>4492.3568089101009</v>
      </c>
      <c r="F53" s="11">
        <f t="shared" si="0"/>
        <v>3415.5794585053459</v>
      </c>
      <c r="G53" s="19">
        <f>IF(G52&lt;0.1,0,$E$4-SUM($E$9:E53))</f>
        <v>815246.71323237277</v>
      </c>
      <c r="H53" s="494"/>
      <c r="I53" s="27"/>
    </row>
    <row r="54" spans="1:9" x14ac:dyDescent="0.15">
      <c r="A54" s="27"/>
      <c r="B54" s="490"/>
      <c r="C54" s="12">
        <v>46</v>
      </c>
      <c r="D54" s="21">
        <f t="shared" si="1"/>
        <v>7907.9362674154454</v>
      </c>
      <c r="E54" s="11">
        <f t="shared" si="2"/>
        <v>4511.0749622805588</v>
      </c>
      <c r="F54" s="11">
        <f t="shared" si="0"/>
        <v>3396.8613051348866</v>
      </c>
      <c r="G54" s="19">
        <f>IF(G53&lt;0.1,0,$E$4-SUM($E$9:E54))</f>
        <v>810735.6382700922</v>
      </c>
      <c r="H54" s="494"/>
      <c r="I54" s="27"/>
    </row>
    <row r="55" spans="1:9" x14ac:dyDescent="0.15">
      <c r="A55" s="27"/>
      <c r="B55" s="490"/>
      <c r="C55" s="12">
        <v>47</v>
      </c>
      <c r="D55" s="21">
        <f t="shared" si="1"/>
        <v>7907.9362674154454</v>
      </c>
      <c r="E55" s="11">
        <f t="shared" si="2"/>
        <v>4529.8711079567283</v>
      </c>
      <c r="F55" s="11">
        <f t="shared" si="0"/>
        <v>3378.0651594587171</v>
      </c>
      <c r="G55" s="19">
        <f>IF(G54&lt;0.1,0,$E$4-SUM($E$9:E55))</f>
        <v>806205.76716213557</v>
      </c>
      <c r="H55" s="494"/>
      <c r="I55" s="27"/>
    </row>
    <row r="56" spans="1:9" ht="14.25" thickBot="1" x14ac:dyDescent="0.2">
      <c r="A56" s="27"/>
      <c r="B56" s="490"/>
      <c r="C56" s="12">
        <v>48</v>
      </c>
      <c r="D56" s="21">
        <f t="shared" si="1"/>
        <v>7907.9362674154454</v>
      </c>
      <c r="E56" s="11">
        <f t="shared" si="2"/>
        <v>4548.7455709065489</v>
      </c>
      <c r="F56" s="11">
        <f t="shared" si="0"/>
        <v>3359.190696508897</v>
      </c>
      <c r="G56" s="19">
        <f>IF(G55&lt;0.1,0,$E$4-SUM($E$9:E56))</f>
        <v>801657.02159122902</v>
      </c>
      <c r="H56" s="495"/>
      <c r="I56" s="27"/>
    </row>
    <row r="57" spans="1:9" x14ac:dyDescent="0.15">
      <c r="A57" s="27"/>
      <c r="B57" s="490" t="s">
        <v>132</v>
      </c>
      <c r="C57" s="12">
        <v>49</v>
      </c>
      <c r="D57" s="21">
        <f t="shared" si="1"/>
        <v>7907.9362674154454</v>
      </c>
      <c r="E57" s="11">
        <f t="shared" si="2"/>
        <v>4567.6986774519919</v>
      </c>
      <c r="F57" s="11">
        <f t="shared" si="0"/>
        <v>3340.2375899634535</v>
      </c>
      <c r="G57" s="19">
        <f>IF(G56&lt;0.1,0,$E$4-SUM($E$9:E57))</f>
        <v>797089.32291377697</v>
      </c>
      <c r="H57" s="496">
        <f>+G68</f>
        <v>745570.90960155055</v>
      </c>
      <c r="I57" s="27"/>
    </row>
    <row r="58" spans="1:9" x14ac:dyDescent="0.15">
      <c r="A58" s="27"/>
      <c r="B58" s="490"/>
      <c r="C58" s="12">
        <v>50</v>
      </c>
      <c r="D58" s="21">
        <f t="shared" si="1"/>
        <v>7907.9362674154454</v>
      </c>
      <c r="E58" s="11">
        <f t="shared" si="2"/>
        <v>4586.7307552747088</v>
      </c>
      <c r="F58" s="11">
        <f t="shared" si="0"/>
        <v>3321.2055121407375</v>
      </c>
      <c r="G58" s="19">
        <f>IF(G57&lt;0.1,0,$E$4-SUM($E$9:E58))</f>
        <v>792502.59215850232</v>
      </c>
      <c r="H58" s="494"/>
      <c r="I58" s="27"/>
    </row>
    <row r="59" spans="1:9" x14ac:dyDescent="0.15">
      <c r="A59" s="27"/>
      <c r="B59" s="490"/>
      <c r="C59" s="12">
        <v>51</v>
      </c>
      <c r="D59" s="21">
        <f t="shared" si="1"/>
        <v>7907.9362674154454</v>
      </c>
      <c r="E59" s="11">
        <f t="shared" si="2"/>
        <v>4605.8421334216864</v>
      </c>
      <c r="F59" s="11">
        <f t="shared" si="0"/>
        <v>3302.094133993759</v>
      </c>
      <c r="G59" s="19">
        <f>IF(G58&lt;0.1,0,$E$4-SUM($E$9:E59))</f>
        <v>787896.75002508063</v>
      </c>
      <c r="H59" s="494"/>
      <c r="I59" s="27"/>
    </row>
    <row r="60" spans="1:9" x14ac:dyDescent="0.15">
      <c r="A60" s="27"/>
      <c r="B60" s="490"/>
      <c r="C60" s="12">
        <v>52</v>
      </c>
      <c r="D60" s="21">
        <f t="shared" si="1"/>
        <v>7907.9362674154454</v>
      </c>
      <c r="E60" s="11">
        <f t="shared" si="2"/>
        <v>4625.0331423109437</v>
      </c>
      <c r="F60" s="11">
        <f t="shared" si="0"/>
        <v>3282.9031251045021</v>
      </c>
      <c r="G60" s="19">
        <f>IF(G59&lt;0.1,0,$E$4-SUM($E$9:E60))</f>
        <v>783271.71688276972</v>
      </c>
      <c r="H60" s="494"/>
      <c r="I60" s="27"/>
    </row>
    <row r="61" spans="1:9" x14ac:dyDescent="0.15">
      <c r="A61" s="27"/>
      <c r="B61" s="490"/>
      <c r="C61" s="12">
        <v>53</v>
      </c>
      <c r="D61" s="21">
        <f t="shared" si="1"/>
        <v>7907.9362674154454</v>
      </c>
      <c r="E61" s="11">
        <f t="shared" si="2"/>
        <v>4644.3041137372393</v>
      </c>
      <c r="F61" s="11">
        <f t="shared" si="0"/>
        <v>3263.632153678207</v>
      </c>
      <c r="G61" s="19">
        <f>IF(G60&lt;0.1,0,$E$4-SUM($E$9:E61))</f>
        <v>778627.41276903241</v>
      </c>
      <c r="H61" s="494"/>
      <c r="I61" s="27"/>
    </row>
    <row r="62" spans="1:9" x14ac:dyDescent="0.15">
      <c r="A62" s="27"/>
      <c r="B62" s="490"/>
      <c r="C62" s="12">
        <v>54</v>
      </c>
      <c r="D62" s="21">
        <f t="shared" si="1"/>
        <v>7907.9362674154454</v>
      </c>
      <c r="E62" s="11">
        <f t="shared" si="2"/>
        <v>4663.6553808778108</v>
      </c>
      <c r="F62" s="11">
        <f t="shared" si="0"/>
        <v>3244.2808865376351</v>
      </c>
      <c r="G62" s="19">
        <f>IF(G61&lt;0.1,0,$E$4-SUM($E$9:E62))</f>
        <v>773963.75738815463</v>
      </c>
      <c r="H62" s="494"/>
      <c r="I62" s="27"/>
    </row>
    <row r="63" spans="1:9" x14ac:dyDescent="0.15">
      <c r="A63" s="27"/>
      <c r="B63" s="490"/>
      <c r="C63" s="12">
        <v>55</v>
      </c>
      <c r="D63" s="21">
        <f t="shared" si="1"/>
        <v>7907.9362674154454</v>
      </c>
      <c r="E63" s="11">
        <f t="shared" si="2"/>
        <v>4683.0872782981351</v>
      </c>
      <c r="F63" s="11">
        <f t="shared" si="0"/>
        <v>3224.8489891173108</v>
      </c>
      <c r="G63" s="19">
        <f>IF(G62&lt;0.1,0,$E$4-SUM($E$9:E63))</f>
        <v>769280.67010985641</v>
      </c>
      <c r="H63" s="494"/>
      <c r="I63" s="27"/>
    </row>
    <row r="64" spans="1:9" x14ac:dyDescent="0.15">
      <c r="A64" s="27"/>
      <c r="B64" s="490"/>
      <c r="C64" s="12">
        <v>56</v>
      </c>
      <c r="D64" s="21">
        <f t="shared" si="1"/>
        <v>7907.9362674154454</v>
      </c>
      <c r="E64" s="11">
        <f t="shared" si="2"/>
        <v>4702.6001419577096</v>
      </c>
      <c r="F64" s="11">
        <f t="shared" si="0"/>
        <v>3205.3361254577349</v>
      </c>
      <c r="G64" s="19">
        <f>IF(G63&lt;0.1,0,$E$4-SUM($E$9:E64))</f>
        <v>764578.06996789877</v>
      </c>
      <c r="H64" s="494"/>
      <c r="I64" s="27"/>
    </row>
    <row r="65" spans="1:9" x14ac:dyDescent="0.15">
      <c r="A65" s="27"/>
      <c r="B65" s="490"/>
      <c r="C65" s="12">
        <v>57</v>
      </c>
      <c r="D65" s="21">
        <f t="shared" si="1"/>
        <v>7907.9362674154454</v>
      </c>
      <c r="E65" s="11">
        <f t="shared" si="2"/>
        <v>4722.1943092158672</v>
      </c>
      <c r="F65" s="11">
        <f t="shared" si="0"/>
        <v>3185.7419581995787</v>
      </c>
      <c r="G65" s="19">
        <f>IF(G64&lt;0.1,0,$E$4-SUM($E$9:E65))</f>
        <v>759855.8756586829</v>
      </c>
      <c r="H65" s="494"/>
      <c r="I65" s="27"/>
    </row>
    <row r="66" spans="1:9" x14ac:dyDescent="0.15">
      <c r="A66" s="27"/>
      <c r="B66" s="490"/>
      <c r="C66" s="12">
        <v>58</v>
      </c>
      <c r="D66" s="21">
        <f t="shared" si="1"/>
        <v>7907.9362674154454</v>
      </c>
      <c r="E66" s="11">
        <f t="shared" si="2"/>
        <v>4741.8701188375999</v>
      </c>
      <c r="F66" s="11">
        <f t="shared" si="0"/>
        <v>3166.0661485778451</v>
      </c>
      <c r="G66" s="19">
        <f>IF(G65&lt;0.1,0,$E$4-SUM($E$9:E66))</f>
        <v>755114.00553984521</v>
      </c>
      <c r="H66" s="494"/>
      <c r="I66" s="27"/>
    </row>
    <row r="67" spans="1:9" x14ac:dyDescent="0.15">
      <c r="A67" s="27"/>
      <c r="B67" s="490"/>
      <c r="C67" s="12">
        <v>59</v>
      </c>
      <c r="D67" s="21">
        <f t="shared" si="1"/>
        <v>7907.9362674154454</v>
      </c>
      <c r="E67" s="11">
        <f t="shared" si="2"/>
        <v>4761.6279109994239</v>
      </c>
      <c r="F67" s="11">
        <f t="shared" si="0"/>
        <v>3146.3083564160215</v>
      </c>
      <c r="G67" s="19">
        <f>IF(G66&lt;0.1,0,$E$4-SUM($E$9:E67))</f>
        <v>750352.37762884586</v>
      </c>
      <c r="H67" s="494"/>
      <c r="I67" s="27"/>
    </row>
    <row r="68" spans="1:9" ht="14.25" thickBot="1" x14ac:dyDescent="0.2">
      <c r="A68" s="27"/>
      <c r="B68" s="490"/>
      <c r="C68" s="12">
        <v>60</v>
      </c>
      <c r="D68" s="21">
        <f t="shared" si="1"/>
        <v>7907.9362674154454</v>
      </c>
      <c r="E68" s="11">
        <f t="shared" si="2"/>
        <v>4781.4680272952555</v>
      </c>
      <c r="F68" s="11">
        <f t="shared" si="0"/>
        <v>3126.4682401201908</v>
      </c>
      <c r="G68" s="19">
        <f>IF(G67&lt;0.1,0,$E$4-SUM($E$9:E68))</f>
        <v>745570.90960155055</v>
      </c>
      <c r="H68" s="495"/>
      <c r="I68" s="27"/>
    </row>
    <row r="69" spans="1:9" x14ac:dyDescent="0.15">
      <c r="A69" s="27"/>
      <c r="B69" s="490" t="s">
        <v>133</v>
      </c>
      <c r="C69" s="12">
        <v>61</v>
      </c>
      <c r="D69" s="21">
        <f>IF(G68&lt;0.1,0,$E$7)</f>
        <v>7907.9362674154454</v>
      </c>
      <c r="E69" s="11">
        <f t="shared" si="2"/>
        <v>4801.3908107423176</v>
      </c>
      <c r="F69" s="11">
        <f t="shared" si="0"/>
        <v>3106.5454566731278</v>
      </c>
      <c r="G69" s="19">
        <f>IF(G68&lt;0.1,0,$E$4-SUM($E$9:E69))</f>
        <v>740769.51879080827</v>
      </c>
      <c r="H69" s="496">
        <f>+G80</f>
        <v>686615.32567767275</v>
      </c>
      <c r="I69" s="27"/>
    </row>
    <row r="70" spans="1:9" x14ac:dyDescent="0.15">
      <c r="A70" s="27"/>
      <c r="B70" s="490"/>
      <c r="C70" s="12">
        <v>62</v>
      </c>
      <c r="D70" s="21">
        <f t="shared" si="1"/>
        <v>7907.9362674154454</v>
      </c>
      <c r="E70" s="11">
        <f t="shared" si="2"/>
        <v>4821.3966057870775</v>
      </c>
      <c r="F70" s="11">
        <f t="shared" si="0"/>
        <v>3086.5396616283679</v>
      </c>
      <c r="G70" s="19">
        <f>IF(G69&lt;0.1,0,$E$4-SUM($E$9:E70))</f>
        <v>735948.12218502117</v>
      </c>
      <c r="H70" s="494"/>
      <c r="I70" s="27"/>
    </row>
    <row r="71" spans="1:9" x14ac:dyDescent="0.15">
      <c r="A71" s="27"/>
      <c r="B71" s="490"/>
      <c r="C71" s="12">
        <v>63</v>
      </c>
      <c r="D71" s="21">
        <f t="shared" si="1"/>
        <v>7907.9362674154454</v>
      </c>
      <c r="E71" s="11">
        <f t="shared" si="2"/>
        <v>4841.4857583111907</v>
      </c>
      <c r="F71" s="11">
        <f t="shared" si="0"/>
        <v>3066.4505091042543</v>
      </c>
      <c r="G71" s="19">
        <f>IF(G70&lt;0.1,0,$E$4-SUM($E$9:E71))</f>
        <v>731106.63642671006</v>
      </c>
      <c r="H71" s="494"/>
      <c r="I71" s="27"/>
    </row>
    <row r="72" spans="1:9" x14ac:dyDescent="0.15">
      <c r="A72" s="27"/>
      <c r="B72" s="490"/>
      <c r="C72" s="12">
        <v>64</v>
      </c>
      <c r="D72" s="21">
        <f t="shared" si="1"/>
        <v>7907.9362674154454</v>
      </c>
      <c r="E72" s="11">
        <f t="shared" si="2"/>
        <v>4861.6586156374869</v>
      </c>
      <c r="F72" s="11">
        <f t="shared" si="0"/>
        <v>3046.277651777958</v>
      </c>
      <c r="G72" s="19">
        <f>IF(G71&lt;0.1,0,$E$4-SUM($E$9:E72))</f>
        <v>726244.97781107249</v>
      </c>
      <c r="H72" s="494"/>
      <c r="I72" s="27"/>
    </row>
    <row r="73" spans="1:9" x14ac:dyDescent="0.15">
      <c r="A73" s="27"/>
      <c r="B73" s="490"/>
      <c r="C73" s="12">
        <v>65</v>
      </c>
      <c r="D73" s="21">
        <f t="shared" si="1"/>
        <v>7907.9362674154454</v>
      </c>
      <c r="E73" s="11">
        <f t="shared" si="2"/>
        <v>4881.9155265359768</v>
      </c>
      <c r="F73" s="11">
        <f t="shared" si="0"/>
        <v>3026.020740879469</v>
      </c>
      <c r="G73" s="19">
        <f>IF(G72&lt;0.1,0,$E$4-SUM($E$9:E73))</f>
        <v>721363.06228453643</v>
      </c>
      <c r="H73" s="494"/>
      <c r="I73" s="27"/>
    </row>
    <row r="74" spans="1:9" x14ac:dyDescent="0.15">
      <c r="A74" s="27"/>
      <c r="B74" s="490"/>
      <c r="C74" s="12">
        <v>66</v>
      </c>
      <c r="D74" s="21">
        <f t="shared" si="1"/>
        <v>7907.9362674154454</v>
      </c>
      <c r="E74" s="11">
        <f t="shared" ref="E74:E137" si="3">-PPMT($G$4/12,$C74,$H$4,$E$4)</f>
        <v>4902.256841229876</v>
      </c>
      <c r="F74" s="11">
        <f t="shared" ref="F74:F137" si="4">-IPMT($G$4/12,$C74,$H$4,$E$4)</f>
        <v>3005.6794261855689</v>
      </c>
      <c r="G74" s="19">
        <f>IF(G73&lt;0.1,0,$E$4-SUM($E$9:E74))</f>
        <v>716460.80544330669</v>
      </c>
      <c r="H74" s="494"/>
      <c r="I74" s="27"/>
    </row>
    <row r="75" spans="1:9" x14ac:dyDescent="0.15">
      <c r="A75" s="27"/>
      <c r="B75" s="490"/>
      <c r="C75" s="12">
        <v>67</v>
      </c>
      <c r="D75" s="21">
        <f t="shared" ref="D75:D138" si="5">IF(G74&lt;0.1,0,$E$7)</f>
        <v>7907.9362674154454</v>
      </c>
      <c r="E75" s="11">
        <f t="shared" si="3"/>
        <v>4922.6829114016682</v>
      </c>
      <c r="F75" s="11">
        <f t="shared" si="4"/>
        <v>2985.2533560137772</v>
      </c>
      <c r="G75" s="19">
        <f>IF(G74&lt;0.1,0,$E$4-SUM($E$9:E75))</f>
        <v>711538.12253190496</v>
      </c>
      <c r="H75" s="494"/>
      <c r="I75" s="27"/>
    </row>
    <row r="76" spans="1:9" x14ac:dyDescent="0.15">
      <c r="A76" s="27"/>
      <c r="B76" s="490"/>
      <c r="C76" s="12">
        <v>68</v>
      </c>
      <c r="D76" s="21">
        <f t="shared" si="5"/>
        <v>7907.9362674154454</v>
      </c>
      <c r="E76" s="11">
        <f t="shared" si="3"/>
        <v>4943.1940901991748</v>
      </c>
      <c r="F76" s="11">
        <f t="shared" si="4"/>
        <v>2964.7421772162706</v>
      </c>
      <c r="G76" s="19">
        <f>IF(G75&lt;0.1,0,$E$4-SUM($E$9:E76))</f>
        <v>706594.92844170576</v>
      </c>
      <c r="H76" s="494"/>
      <c r="I76" s="27"/>
    </row>
    <row r="77" spans="1:9" x14ac:dyDescent="0.15">
      <c r="A77" s="27"/>
      <c r="B77" s="490"/>
      <c r="C77" s="12">
        <v>69</v>
      </c>
      <c r="D77" s="21">
        <f t="shared" si="5"/>
        <v>7907.9362674154454</v>
      </c>
      <c r="E77" s="11">
        <f t="shared" si="3"/>
        <v>4963.7907322416713</v>
      </c>
      <c r="F77" s="11">
        <f t="shared" si="4"/>
        <v>2944.1455351737741</v>
      </c>
      <c r="G77" s="19">
        <f>IF(G76&lt;0.1,0,$E$4-SUM($E$9:E77))</f>
        <v>701631.13770946418</v>
      </c>
      <c r="H77" s="494"/>
      <c r="I77" s="27"/>
    </row>
    <row r="78" spans="1:9" x14ac:dyDescent="0.15">
      <c r="A78" s="27"/>
      <c r="B78" s="490"/>
      <c r="C78" s="12">
        <v>70</v>
      </c>
      <c r="D78" s="21">
        <f t="shared" si="5"/>
        <v>7907.9362674154454</v>
      </c>
      <c r="E78" s="11">
        <f t="shared" si="3"/>
        <v>4984.4731936260114</v>
      </c>
      <c r="F78" s="11">
        <f t="shared" si="4"/>
        <v>2923.463073789434</v>
      </c>
      <c r="G78" s="19">
        <f>IF(G77&lt;0.1,0,$E$4-SUM($E$9:E78))</f>
        <v>696646.66451583803</v>
      </c>
      <c r="H78" s="494"/>
      <c r="I78" s="27"/>
    </row>
    <row r="79" spans="1:9" x14ac:dyDescent="0.15">
      <c r="A79" s="27"/>
      <c r="B79" s="490"/>
      <c r="C79" s="12">
        <v>71</v>
      </c>
      <c r="D79" s="21">
        <f t="shared" si="5"/>
        <v>7907.9362674154454</v>
      </c>
      <c r="E79" s="11">
        <f t="shared" si="3"/>
        <v>5005.2418319327871</v>
      </c>
      <c r="F79" s="11">
        <f t="shared" si="4"/>
        <v>2902.6944354826587</v>
      </c>
      <c r="G79" s="19">
        <f>IF(G78&lt;0.1,0,$E$4-SUM($E$9:E79))</f>
        <v>691641.42268390534</v>
      </c>
      <c r="H79" s="494"/>
      <c r="I79" s="27"/>
    </row>
    <row r="80" spans="1:9" ht="14.25" thickBot="1" x14ac:dyDescent="0.2">
      <c r="A80" s="27"/>
      <c r="B80" s="490"/>
      <c r="C80" s="12">
        <v>72</v>
      </c>
      <c r="D80" s="21">
        <f t="shared" si="5"/>
        <v>7907.9362674154454</v>
      </c>
      <c r="E80" s="11">
        <f t="shared" si="3"/>
        <v>5026.0970062325068</v>
      </c>
      <c r="F80" s="11">
        <f t="shared" si="4"/>
        <v>2881.839261182939</v>
      </c>
      <c r="G80" s="19">
        <f>IF(G79&lt;0.1,0,$E$4-SUM($E$9:E80))</f>
        <v>686615.32567767275</v>
      </c>
      <c r="H80" s="495"/>
      <c r="I80" s="27"/>
    </row>
    <row r="81" spans="1:9" x14ac:dyDescent="0.15">
      <c r="A81" s="27"/>
      <c r="B81" s="490" t="s">
        <v>134</v>
      </c>
      <c r="C81" s="12">
        <v>73</v>
      </c>
      <c r="D81" s="21">
        <f t="shared" si="5"/>
        <v>7907.9362674154454</v>
      </c>
      <c r="E81" s="11">
        <f t="shared" si="3"/>
        <v>5047.0390770918084</v>
      </c>
      <c r="F81" s="11">
        <f t="shared" si="4"/>
        <v>2860.8971903236366</v>
      </c>
      <c r="G81" s="19">
        <f>IF(G80&lt;0.1,0,$E$4-SUM($E$9:E81))</f>
        <v>681568.2866005809</v>
      </c>
      <c r="H81" s="496">
        <f>+G92</f>
        <v>624643.4621895235</v>
      </c>
      <c r="I81" s="27"/>
    </row>
    <row r="82" spans="1:9" x14ac:dyDescent="0.15">
      <c r="A82" s="27"/>
      <c r="B82" s="490"/>
      <c r="C82" s="12">
        <v>74</v>
      </c>
      <c r="D82" s="21">
        <f t="shared" si="5"/>
        <v>7907.9362674154454</v>
      </c>
      <c r="E82" s="11">
        <f t="shared" si="3"/>
        <v>5068.0684065796922</v>
      </c>
      <c r="F82" s="11">
        <f t="shared" si="4"/>
        <v>2839.8678608357545</v>
      </c>
      <c r="G82" s="19">
        <f>IF(G81&lt;0.1,0,$E$4-SUM($E$9:E82))</f>
        <v>676500.21819400135</v>
      </c>
      <c r="H82" s="494"/>
      <c r="I82" s="27"/>
    </row>
    <row r="83" spans="1:9" x14ac:dyDescent="0.15">
      <c r="A83" s="27"/>
      <c r="B83" s="490"/>
      <c r="C83" s="12">
        <v>75</v>
      </c>
      <c r="D83" s="21">
        <f t="shared" si="5"/>
        <v>7907.9362674154454</v>
      </c>
      <c r="E83" s="11">
        <f t="shared" si="3"/>
        <v>5089.1853582737731</v>
      </c>
      <c r="F83" s="11">
        <f t="shared" si="4"/>
        <v>2818.7509091416723</v>
      </c>
      <c r="G83" s="19">
        <f>IF(G82&lt;0.1,0,$E$4-SUM($E$9:E83))</f>
        <v>671411.03283572756</v>
      </c>
      <c r="H83" s="494"/>
      <c r="I83" s="27"/>
    </row>
    <row r="84" spans="1:9" x14ac:dyDescent="0.15">
      <c r="A84" s="27"/>
      <c r="B84" s="490"/>
      <c r="C84" s="12">
        <v>76</v>
      </c>
      <c r="D84" s="21">
        <f t="shared" si="5"/>
        <v>7907.9362674154454</v>
      </c>
      <c r="E84" s="11">
        <f t="shared" si="3"/>
        <v>5110.390297266581</v>
      </c>
      <c r="F84" s="11">
        <f t="shared" si="4"/>
        <v>2797.5459701488649</v>
      </c>
      <c r="G84" s="19">
        <f>IF(G83&lt;0.1,0,$E$4-SUM($E$9:E84))</f>
        <v>666300.6425384609</v>
      </c>
      <c r="H84" s="494"/>
      <c r="I84" s="27"/>
    </row>
    <row r="85" spans="1:9" x14ac:dyDescent="0.15">
      <c r="A85" s="27"/>
      <c r="B85" s="490"/>
      <c r="C85" s="12">
        <v>77</v>
      </c>
      <c r="D85" s="21">
        <f t="shared" si="5"/>
        <v>7907.9362674154454</v>
      </c>
      <c r="E85" s="11">
        <f t="shared" si="3"/>
        <v>5131.6835901718587</v>
      </c>
      <c r="F85" s="11">
        <f t="shared" si="4"/>
        <v>2776.2526772435872</v>
      </c>
      <c r="G85" s="19">
        <f>IF(G84&lt;0.1,0,$E$4-SUM($E$9:E85))</f>
        <v>661168.95894828904</v>
      </c>
      <c r="H85" s="494"/>
      <c r="I85" s="27"/>
    </row>
    <row r="86" spans="1:9" x14ac:dyDescent="0.15">
      <c r="A86" s="27"/>
      <c r="B86" s="490"/>
      <c r="C86" s="12">
        <v>78</v>
      </c>
      <c r="D86" s="21">
        <f t="shared" si="5"/>
        <v>7907.9362674154454</v>
      </c>
      <c r="E86" s="11">
        <f t="shared" si="3"/>
        <v>5153.0656051309079</v>
      </c>
      <c r="F86" s="11">
        <f t="shared" si="4"/>
        <v>2754.870662284538</v>
      </c>
      <c r="G86" s="19">
        <f>IF(G85&lt;0.1,0,$E$4-SUM($E$9:E86))</f>
        <v>656015.89334315807</v>
      </c>
      <c r="H86" s="494"/>
      <c r="I86" s="27"/>
    </row>
    <row r="87" spans="1:9" x14ac:dyDescent="0.15">
      <c r="A87" s="27"/>
      <c r="B87" s="490"/>
      <c r="C87" s="12">
        <v>79</v>
      </c>
      <c r="D87" s="21">
        <f t="shared" si="5"/>
        <v>7907.9362674154454</v>
      </c>
      <c r="E87" s="11">
        <f t="shared" si="3"/>
        <v>5174.5367118189533</v>
      </c>
      <c r="F87" s="11">
        <f t="shared" si="4"/>
        <v>2733.399555596493</v>
      </c>
      <c r="G87" s="19">
        <f>IF(G86&lt;0.1,0,$E$4-SUM($E$9:E87))</f>
        <v>650841.35663133918</v>
      </c>
      <c r="H87" s="494"/>
      <c r="I87" s="27"/>
    </row>
    <row r="88" spans="1:9" x14ac:dyDescent="0.15">
      <c r="A88" s="27"/>
      <c r="B88" s="490"/>
      <c r="C88" s="12">
        <v>80</v>
      </c>
      <c r="D88" s="21">
        <f t="shared" si="5"/>
        <v>7907.9362674154454</v>
      </c>
      <c r="E88" s="11">
        <f t="shared" si="3"/>
        <v>5196.0972814515317</v>
      </c>
      <c r="F88" s="11">
        <f t="shared" si="4"/>
        <v>2711.8389859639133</v>
      </c>
      <c r="G88" s="19">
        <f>IF(G87&lt;0.1,0,$E$4-SUM($E$9:E88))</f>
        <v>645645.25934988772</v>
      </c>
      <c r="H88" s="494"/>
      <c r="I88" s="27"/>
    </row>
    <row r="89" spans="1:9" x14ac:dyDescent="0.15">
      <c r="A89" s="27"/>
      <c r="B89" s="490"/>
      <c r="C89" s="12">
        <v>81</v>
      </c>
      <c r="D89" s="21">
        <f t="shared" si="5"/>
        <v>7907.9362674154454</v>
      </c>
      <c r="E89" s="11">
        <f t="shared" si="3"/>
        <v>5217.7476867909136</v>
      </c>
      <c r="F89" s="11">
        <f t="shared" si="4"/>
        <v>2690.1885806245323</v>
      </c>
      <c r="G89" s="19">
        <f>IF(G88&lt;0.1,0,$E$4-SUM($E$9:E89))</f>
        <v>640427.51166309672</v>
      </c>
      <c r="H89" s="494"/>
      <c r="I89" s="27"/>
    </row>
    <row r="90" spans="1:9" x14ac:dyDescent="0.15">
      <c r="A90" s="27"/>
      <c r="B90" s="490"/>
      <c r="C90" s="12">
        <v>82</v>
      </c>
      <c r="D90" s="21">
        <f t="shared" si="5"/>
        <v>7907.9362674154454</v>
      </c>
      <c r="E90" s="11">
        <f t="shared" si="3"/>
        <v>5239.488302152542</v>
      </c>
      <c r="F90" s="11">
        <f t="shared" si="4"/>
        <v>2668.4479652629029</v>
      </c>
      <c r="G90" s="19">
        <f>IF(G89&lt;0.1,0,$E$4-SUM($E$9:E90))</f>
        <v>635188.02336094412</v>
      </c>
      <c r="H90" s="494"/>
      <c r="I90" s="27"/>
    </row>
    <row r="91" spans="1:9" x14ac:dyDescent="0.15">
      <c r="A91" s="27"/>
      <c r="B91" s="490"/>
      <c r="C91" s="12">
        <v>83</v>
      </c>
      <c r="D91" s="21">
        <f t="shared" si="5"/>
        <v>7907.9362674154454</v>
      </c>
      <c r="E91" s="11">
        <f t="shared" si="3"/>
        <v>5261.3195034115106</v>
      </c>
      <c r="F91" s="11">
        <f t="shared" si="4"/>
        <v>2646.6167640039343</v>
      </c>
      <c r="G91" s="19">
        <f>IF(G90&lt;0.1,0,$E$4-SUM($E$9:E91))</f>
        <v>629926.7038575327</v>
      </c>
      <c r="H91" s="494"/>
      <c r="I91" s="27"/>
    </row>
    <row r="92" spans="1:9" ht="14.25" thickBot="1" x14ac:dyDescent="0.2">
      <c r="A92" s="27"/>
      <c r="B92" s="490"/>
      <c r="C92" s="12">
        <v>84</v>
      </c>
      <c r="D92" s="21">
        <f t="shared" si="5"/>
        <v>7907.9362674154454</v>
      </c>
      <c r="E92" s="11">
        <f t="shared" si="3"/>
        <v>5283.2416680090591</v>
      </c>
      <c r="F92" s="11">
        <f t="shared" si="4"/>
        <v>2624.6945994063867</v>
      </c>
      <c r="G92" s="19">
        <f>IF(G91&lt;0.1,0,$E$4-SUM($E$9:E92))</f>
        <v>624643.4621895235</v>
      </c>
      <c r="H92" s="495"/>
      <c r="I92" s="27"/>
    </row>
    <row r="93" spans="1:9" x14ac:dyDescent="0.15">
      <c r="A93" s="27"/>
      <c r="B93" s="490" t="s">
        <v>135</v>
      </c>
      <c r="C93" s="12">
        <v>85</v>
      </c>
      <c r="D93" s="21">
        <f t="shared" si="5"/>
        <v>7907.9362674154454</v>
      </c>
      <c r="E93" s="11">
        <f t="shared" si="3"/>
        <v>5305.2551749590966</v>
      </c>
      <c r="F93" s="11">
        <f t="shared" si="4"/>
        <v>2602.6810924563488</v>
      </c>
      <c r="G93" s="19">
        <f>IF(G92&lt;0.1,0,$E$4-SUM($E$9:E93))</f>
        <v>619338.20701456442</v>
      </c>
      <c r="H93" s="496">
        <f>+G104</f>
        <v>559501.00055005308</v>
      </c>
      <c r="I93" s="27"/>
    </row>
    <row r="94" spans="1:9" x14ac:dyDescent="0.15">
      <c r="A94" s="27"/>
      <c r="B94" s="490"/>
      <c r="C94" s="12">
        <v>86</v>
      </c>
      <c r="D94" s="21">
        <f t="shared" si="5"/>
        <v>7907.9362674154454</v>
      </c>
      <c r="E94" s="11">
        <f t="shared" si="3"/>
        <v>5327.3604048547595</v>
      </c>
      <c r="F94" s="11">
        <f t="shared" si="4"/>
        <v>2580.5758625606859</v>
      </c>
      <c r="G94" s="19">
        <f>IF(G93&lt;0.1,0,$E$4-SUM($E$9:E94))</f>
        <v>614010.84660970978</v>
      </c>
      <c r="H94" s="494"/>
      <c r="I94" s="27"/>
    </row>
    <row r="95" spans="1:9" x14ac:dyDescent="0.15">
      <c r="A95" s="27"/>
      <c r="B95" s="490"/>
      <c r="C95" s="12">
        <v>87</v>
      </c>
      <c r="D95" s="21">
        <f t="shared" si="5"/>
        <v>7907.9362674154454</v>
      </c>
      <c r="E95" s="11">
        <f t="shared" si="3"/>
        <v>5349.5577398749883</v>
      </c>
      <c r="F95" s="11">
        <f t="shared" si="4"/>
        <v>2558.378527540458</v>
      </c>
      <c r="G95" s="19">
        <f>IF(G94&lt;0.1,0,$E$4-SUM($E$9:E95))</f>
        <v>608661.28886983474</v>
      </c>
      <c r="H95" s="494"/>
      <c r="I95" s="27"/>
    </row>
    <row r="96" spans="1:9" x14ac:dyDescent="0.15">
      <c r="A96" s="27"/>
      <c r="B96" s="490"/>
      <c r="C96" s="12">
        <v>88</v>
      </c>
      <c r="D96" s="21">
        <f t="shared" si="5"/>
        <v>7907.9362674154454</v>
      </c>
      <c r="E96" s="11">
        <f t="shared" si="3"/>
        <v>5371.8475637911333</v>
      </c>
      <c r="F96" s="11">
        <f t="shared" si="4"/>
        <v>2536.0887036243121</v>
      </c>
      <c r="G96" s="19">
        <f>IF(G95&lt;0.1,0,$E$4-SUM($E$9:E96))</f>
        <v>603289.44130604365</v>
      </c>
      <c r="H96" s="494"/>
      <c r="I96" s="27"/>
    </row>
    <row r="97" spans="1:9" x14ac:dyDescent="0.15">
      <c r="A97" s="27"/>
      <c r="B97" s="490"/>
      <c r="C97" s="12">
        <v>89</v>
      </c>
      <c r="D97" s="21">
        <f t="shared" si="5"/>
        <v>7907.9362674154454</v>
      </c>
      <c r="E97" s="11">
        <f t="shared" si="3"/>
        <v>5394.2302619735974</v>
      </c>
      <c r="F97" s="11">
        <f t="shared" si="4"/>
        <v>2513.7060054418489</v>
      </c>
      <c r="G97" s="19">
        <f>IF(G96&lt;0.1,0,$E$4-SUM($E$9:E97))</f>
        <v>597895.21104407008</v>
      </c>
      <c r="H97" s="494"/>
      <c r="I97" s="27"/>
    </row>
    <row r="98" spans="1:9" x14ac:dyDescent="0.15">
      <c r="A98" s="27"/>
      <c r="B98" s="490"/>
      <c r="C98" s="12">
        <v>90</v>
      </c>
      <c r="D98" s="21">
        <f t="shared" si="5"/>
        <v>7907.9362674154454</v>
      </c>
      <c r="E98" s="11">
        <f t="shared" si="3"/>
        <v>5416.7062213984873</v>
      </c>
      <c r="F98" s="11">
        <f t="shared" si="4"/>
        <v>2491.230046016959</v>
      </c>
      <c r="G98" s="19">
        <f>IF(G97&lt;0.1,0,$E$4-SUM($E$9:E98))</f>
        <v>592478.50482267153</v>
      </c>
      <c r="H98" s="494"/>
      <c r="I98" s="27"/>
    </row>
    <row r="99" spans="1:9" x14ac:dyDescent="0.15">
      <c r="A99" s="27"/>
      <c r="B99" s="490"/>
      <c r="C99" s="12">
        <v>91</v>
      </c>
      <c r="D99" s="21">
        <f t="shared" si="5"/>
        <v>7907.9362674154454</v>
      </c>
      <c r="E99" s="11">
        <f t="shared" si="3"/>
        <v>5439.2758306543137</v>
      </c>
      <c r="F99" s="11">
        <f t="shared" si="4"/>
        <v>2468.6604367611317</v>
      </c>
      <c r="G99" s="19">
        <f>IF(G98&lt;0.1,0,$E$4-SUM($E$9:E99))</f>
        <v>587039.22899201722</v>
      </c>
      <c r="H99" s="494"/>
      <c r="I99" s="27"/>
    </row>
    <row r="100" spans="1:9" x14ac:dyDescent="0.15">
      <c r="A100" s="27"/>
      <c r="B100" s="490"/>
      <c r="C100" s="12">
        <v>92</v>
      </c>
      <c r="D100" s="21">
        <f t="shared" si="5"/>
        <v>7907.9362674154454</v>
      </c>
      <c r="E100" s="11">
        <f t="shared" si="3"/>
        <v>5461.9394799487072</v>
      </c>
      <c r="F100" s="11">
        <f t="shared" si="4"/>
        <v>2445.9967874667391</v>
      </c>
      <c r="G100" s="19">
        <f>IF(G99&lt;0.1,0,$E$4-SUM($E$9:E100))</f>
        <v>581577.2895120685</v>
      </c>
      <c r="H100" s="494"/>
      <c r="I100" s="27"/>
    </row>
    <row r="101" spans="1:9" x14ac:dyDescent="0.15">
      <c r="A101" s="27"/>
      <c r="B101" s="490"/>
      <c r="C101" s="12">
        <v>93</v>
      </c>
      <c r="D101" s="21">
        <f t="shared" si="5"/>
        <v>7907.9362674154454</v>
      </c>
      <c r="E101" s="11">
        <f t="shared" si="3"/>
        <v>5484.6975611151593</v>
      </c>
      <c r="F101" s="11">
        <f t="shared" si="4"/>
        <v>2423.2387063002857</v>
      </c>
      <c r="G101" s="19">
        <f>IF(G100&lt;0.1,0,$E$4-SUM($E$9:E101))</f>
        <v>576092.59195095336</v>
      </c>
      <c r="H101" s="494"/>
      <c r="I101" s="27"/>
    </row>
    <row r="102" spans="1:9" x14ac:dyDescent="0.15">
      <c r="A102" s="27"/>
      <c r="B102" s="490"/>
      <c r="C102" s="12">
        <v>94</v>
      </c>
      <c r="D102" s="21">
        <f t="shared" si="5"/>
        <v>7907.9362674154454</v>
      </c>
      <c r="E102" s="11">
        <f t="shared" si="3"/>
        <v>5507.5504676198061</v>
      </c>
      <c r="F102" s="11">
        <f t="shared" si="4"/>
        <v>2400.3857997956393</v>
      </c>
      <c r="G102" s="19">
        <f>IF(G101&lt;0.1,0,$E$4-SUM($E$9:E102))</f>
        <v>570585.04148333357</v>
      </c>
      <c r="H102" s="494"/>
      <c r="I102" s="27"/>
    </row>
    <row r="103" spans="1:9" x14ac:dyDescent="0.15">
      <c r="A103" s="27"/>
      <c r="B103" s="490"/>
      <c r="C103" s="12">
        <v>95</v>
      </c>
      <c r="D103" s="21">
        <f t="shared" si="5"/>
        <v>7907.9362674154454</v>
      </c>
      <c r="E103" s="11">
        <f t="shared" si="3"/>
        <v>5530.4985945682229</v>
      </c>
      <c r="F103" s="11">
        <f t="shared" si="4"/>
        <v>2377.437672847223</v>
      </c>
      <c r="G103" s="19">
        <f>IF(G102&lt;0.1,0,$E$4-SUM($E$9:E103))</f>
        <v>565054.54288876534</v>
      </c>
      <c r="H103" s="494"/>
      <c r="I103" s="27"/>
    </row>
    <row r="104" spans="1:9" ht="14.25" thickBot="1" x14ac:dyDescent="0.2">
      <c r="A104" s="27"/>
      <c r="B104" s="490"/>
      <c r="C104" s="12">
        <v>96</v>
      </c>
      <c r="D104" s="21">
        <f t="shared" si="5"/>
        <v>7907.9362674154454</v>
      </c>
      <c r="E104" s="11">
        <f t="shared" si="3"/>
        <v>5553.5423387122564</v>
      </c>
      <c r="F104" s="11">
        <f t="shared" si="4"/>
        <v>2354.3939287031894</v>
      </c>
      <c r="G104" s="19">
        <f>IF(G103&lt;0.1,0,$E$4-SUM($E$9:E104))</f>
        <v>559501.00055005308</v>
      </c>
      <c r="H104" s="495"/>
      <c r="I104" s="27"/>
    </row>
    <row r="105" spans="1:9" x14ac:dyDescent="0.15">
      <c r="A105" s="27"/>
      <c r="B105" s="490" t="s">
        <v>136</v>
      </c>
      <c r="C105" s="12">
        <v>97</v>
      </c>
      <c r="D105" s="21">
        <f t="shared" si="5"/>
        <v>7907.9362674154454</v>
      </c>
      <c r="E105" s="11">
        <f t="shared" si="3"/>
        <v>5576.6820984568903</v>
      </c>
      <c r="F105" s="11">
        <f t="shared" si="4"/>
        <v>2331.2541689585551</v>
      </c>
      <c r="G105" s="19">
        <f>IF(G104&lt;0.1,0,$E$4-SUM($E$9:E105))</f>
        <v>553924.31845159619</v>
      </c>
      <c r="H105" s="496">
        <f>+G116</f>
        <v>491025.72694041929</v>
      </c>
      <c r="I105" s="27"/>
    </row>
    <row r="106" spans="1:9" x14ac:dyDescent="0.15">
      <c r="A106" s="27"/>
      <c r="B106" s="490"/>
      <c r="C106" s="12">
        <v>98</v>
      </c>
      <c r="D106" s="21">
        <f t="shared" si="5"/>
        <v>7907.9362674154454</v>
      </c>
      <c r="E106" s="11">
        <f t="shared" si="3"/>
        <v>5599.9182738671279</v>
      </c>
      <c r="F106" s="11">
        <f t="shared" si="4"/>
        <v>2308.0179935483179</v>
      </c>
      <c r="G106" s="19">
        <f>IF(G105&lt;0.1,0,$E$4-SUM($E$9:E106))</f>
        <v>548324.40017772908</v>
      </c>
      <c r="H106" s="494"/>
      <c r="I106" s="27"/>
    </row>
    <row r="107" spans="1:9" x14ac:dyDescent="0.15">
      <c r="A107" s="27"/>
      <c r="B107" s="490"/>
      <c r="C107" s="12">
        <v>99</v>
      </c>
      <c r="D107" s="21">
        <f t="shared" si="5"/>
        <v>7907.9362674154454</v>
      </c>
      <c r="E107" s="11">
        <f t="shared" si="3"/>
        <v>5623.2512666749071</v>
      </c>
      <c r="F107" s="11">
        <f t="shared" si="4"/>
        <v>2284.6850007405378</v>
      </c>
      <c r="G107" s="19">
        <f>IF(G106&lt;0.1,0,$E$4-SUM($E$9:E107))</f>
        <v>542701.14891105425</v>
      </c>
      <c r="H107" s="494"/>
      <c r="I107" s="27"/>
    </row>
    <row r="108" spans="1:9" x14ac:dyDescent="0.15">
      <c r="A108" s="27"/>
      <c r="B108" s="490"/>
      <c r="C108" s="12">
        <v>100</v>
      </c>
      <c r="D108" s="21">
        <f t="shared" si="5"/>
        <v>7907.9362674154454</v>
      </c>
      <c r="E108" s="11">
        <f t="shared" si="3"/>
        <v>5646.6814802860526</v>
      </c>
      <c r="F108" s="11">
        <f t="shared" si="4"/>
        <v>2261.2547871293928</v>
      </c>
      <c r="G108" s="19">
        <f>IF(G107&lt;0.1,0,$E$4-SUM($E$9:E108))</f>
        <v>537054.46743076807</v>
      </c>
      <c r="H108" s="494"/>
      <c r="I108" s="27"/>
    </row>
    <row r="109" spans="1:9" x14ac:dyDescent="0.15">
      <c r="A109" s="27"/>
      <c r="B109" s="490"/>
      <c r="C109" s="12">
        <v>101</v>
      </c>
      <c r="D109" s="21">
        <f t="shared" si="5"/>
        <v>7907.9362674154454</v>
      </c>
      <c r="E109" s="11">
        <f t="shared" si="3"/>
        <v>5670.2093197872455</v>
      </c>
      <c r="F109" s="11">
        <f t="shared" si="4"/>
        <v>2237.7269476282008</v>
      </c>
      <c r="G109" s="19">
        <f>IF(G108&lt;0.1,0,$E$4-SUM($E$9:E109))</f>
        <v>531384.25811098085</v>
      </c>
      <c r="H109" s="494"/>
      <c r="I109" s="27"/>
    </row>
    <row r="110" spans="1:9" x14ac:dyDescent="0.15">
      <c r="A110" s="27"/>
      <c r="B110" s="490"/>
      <c r="C110" s="12">
        <v>102</v>
      </c>
      <c r="D110" s="21">
        <f t="shared" si="5"/>
        <v>7907.9362674154454</v>
      </c>
      <c r="E110" s="11">
        <f t="shared" si="3"/>
        <v>5693.8351919530251</v>
      </c>
      <c r="F110" s="11">
        <f t="shared" si="4"/>
        <v>2214.1010754624208</v>
      </c>
      <c r="G110" s="19">
        <f>IF(G109&lt;0.1,0,$E$4-SUM($E$9:E110))</f>
        <v>525690.42291902786</v>
      </c>
      <c r="H110" s="494"/>
      <c r="I110" s="27"/>
    </row>
    <row r="111" spans="1:9" x14ac:dyDescent="0.15">
      <c r="A111" s="27"/>
      <c r="B111" s="490"/>
      <c r="C111" s="12">
        <v>103</v>
      </c>
      <c r="D111" s="21">
        <f t="shared" si="5"/>
        <v>7907.9362674154454</v>
      </c>
      <c r="E111" s="11">
        <f t="shared" si="3"/>
        <v>5717.5595052528288</v>
      </c>
      <c r="F111" s="11">
        <f t="shared" si="4"/>
        <v>2190.3767621626166</v>
      </c>
      <c r="G111" s="19">
        <f>IF(G110&lt;0.1,0,$E$4-SUM($E$9:E111))</f>
        <v>519972.86341377505</v>
      </c>
      <c r="H111" s="494"/>
      <c r="I111" s="27"/>
    </row>
    <row r="112" spans="1:9" x14ac:dyDescent="0.15">
      <c r="A112" s="27"/>
      <c r="B112" s="490"/>
      <c r="C112" s="12">
        <v>104</v>
      </c>
      <c r="D112" s="21">
        <f t="shared" si="5"/>
        <v>7907.9362674154454</v>
      </c>
      <c r="E112" s="11">
        <f t="shared" si="3"/>
        <v>5741.3826698580497</v>
      </c>
      <c r="F112" s="11">
        <f t="shared" si="4"/>
        <v>2166.5535975573966</v>
      </c>
      <c r="G112" s="19">
        <f>IF(G111&lt;0.1,0,$E$4-SUM($E$9:E112))</f>
        <v>514231.480743917</v>
      </c>
      <c r="H112" s="494"/>
      <c r="I112" s="27"/>
    </row>
    <row r="113" spans="1:9" x14ac:dyDescent="0.15">
      <c r="A113" s="27"/>
      <c r="B113" s="490"/>
      <c r="C113" s="12">
        <v>105</v>
      </c>
      <c r="D113" s="21">
        <f t="shared" si="5"/>
        <v>7907.9362674154454</v>
      </c>
      <c r="E113" s="11">
        <f t="shared" si="3"/>
        <v>5765.305097649124</v>
      </c>
      <c r="F113" s="11">
        <f t="shared" si="4"/>
        <v>2142.6311697663214</v>
      </c>
      <c r="G113" s="19">
        <f>IF(G112&lt;0.1,0,$E$4-SUM($E$9:E113))</f>
        <v>508466.17564626789</v>
      </c>
      <c r="H113" s="494"/>
      <c r="I113" s="27"/>
    </row>
    <row r="114" spans="1:9" x14ac:dyDescent="0.15">
      <c r="A114" s="27"/>
      <c r="B114" s="490"/>
      <c r="C114" s="12">
        <v>106</v>
      </c>
      <c r="D114" s="21">
        <f t="shared" si="5"/>
        <v>7907.9362674154454</v>
      </c>
      <c r="E114" s="11">
        <f t="shared" si="3"/>
        <v>5789.327202222662</v>
      </c>
      <c r="F114" s="11">
        <f t="shared" si="4"/>
        <v>2118.609065192783</v>
      </c>
      <c r="G114" s="19">
        <f>IF(G113&lt;0.1,0,$E$4-SUM($E$9:E114))</f>
        <v>502676.84844404523</v>
      </c>
      <c r="H114" s="494"/>
      <c r="I114" s="27"/>
    </row>
    <row r="115" spans="1:9" x14ac:dyDescent="0.15">
      <c r="A115" s="27"/>
      <c r="B115" s="490"/>
      <c r="C115" s="12">
        <v>107</v>
      </c>
      <c r="D115" s="21">
        <f t="shared" si="5"/>
        <v>7907.9362674154454</v>
      </c>
      <c r="E115" s="11">
        <f t="shared" si="3"/>
        <v>5813.4493988985905</v>
      </c>
      <c r="F115" s="11">
        <f t="shared" si="4"/>
        <v>2094.4868685168558</v>
      </c>
      <c r="G115" s="19">
        <f>IF(G114&lt;0.1,0,$E$4-SUM($E$9:E115))</f>
        <v>496863.39904514665</v>
      </c>
      <c r="H115" s="494"/>
      <c r="I115" s="27"/>
    </row>
    <row r="116" spans="1:9" ht="14.25" thickBot="1" x14ac:dyDescent="0.2">
      <c r="A116" s="27"/>
      <c r="B116" s="490"/>
      <c r="C116" s="12">
        <v>108</v>
      </c>
      <c r="D116" s="21">
        <f t="shared" si="5"/>
        <v>7907.9362674154454</v>
      </c>
      <c r="E116" s="11">
        <f t="shared" si="3"/>
        <v>5837.672104727335</v>
      </c>
      <c r="F116" s="11">
        <f t="shared" si="4"/>
        <v>2070.2641626881114</v>
      </c>
      <c r="G116" s="19">
        <f>IF(G115&lt;0.1,0,$E$4-SUM($E$9:E116))</f>
        <v>491025.72694041929</v>
      </c>
      <c r="H116" s="495"/>
      <c r="I116" s="27"/>
    </row>
    <row r="117" spans="1:9" x14ac:dyDescent="0.15">
      <c r="A117" s="27"/>
      <c r="B117" s="490" t="s">
        <v>137</v>
      </c>
      <c r="C117" s="12">
        <v>109</v>
      </c>
      <c r="D117" s="21">
        <f t="shared" si="5"/>
        <v>7907.9362674154454</v>
      </c>
      <c r="E117" s="11">
        <f t="shared" si="3"/>
        <v>5861.9957384970321</v>
      </c>
      <c r="F117" s="11">
        <f t="shared" si="4"/>
        <v>2045.940528918414</v>
      </c>
      <c r="G117" s="19">
        <f>IF(G116&lt;0.1,0,$E$4-SUM($E$9:E117))</f>
        <v>485163.73120192229</v>
      </c>
      <c r="H117" s="496">
        <f>+G128</f>
        <v>419047.12837494561</v>
      </c>
      <c r="I117" s="27"/>
    </row>
    <row r="118" spans="1:9" x14ac:dyDescent="0.15">
      <c r="A118" s="27"/>
      <c r="B118" s="490"/>
      <c r="C118" s="12">
        <v>110</v>
      </c>
      <c r="D118" s="21">
        <f t="shared" si="5"/>
        <v>7907.9362674154454</v>
      </c>
      <c r="E118" s="11">
        <f t="shared" si="3"/>
        <v>5886.4207207407699</v>
      </c>
      <c r="F118" s="11">
        <f t="shared" si="4"/>
        <v>2021.5155466746764</v>
      </c>
      <c r="G118" s="19">
        <f>IF(G117&lt;0.1,0,$E$4-SUM($E$9:E118))</f>
        <v>479277.31048118154</v>
      </c>
      <c r="H118" s="494"/>
      <c r="I118" s="27"/>
    </row>
    <row r="119" spans="1:9" x14ac:dyDescent="0.15">
      <c r="A119" s="27"/>
      <c r="B119" s="490"/>
      <c r="C119" s="12">
        <v>111</v>
      </c>
      <c r="D119" s="21">
        <f t="shared" si="5"/>
        <v>7907.9362674154454</v>
      </c>
      <c r="E119" s="11">
        <f t="shared" si="3"/>
        <v>5910.9474737438559</v>
      </c>
      <c r="F119" s="11">
        <f t="shared" si="4"/>
        <v>1996.9887936715902</v>
      </c>
      <c r="G119" s="19">
        <f>IF(G118&lt;0.1,0,$E$4-SUM($E$9:E119))</f>
        <v>473366.36300743767</v>
      </c>
      <c r="H119" s="494"/>
      <c r="I119" s="27"/>
    </row>
    <row r="120" spans="1:9" x14ac:dyDescent="0.15">
      <c r="A120" s="27"/>
      <c r="B120" s="490"/>
      <c r="C120" s="12">
        <v>112</v>
      </c>
      <c r="D120" s="21">
        <f t="shared" si="5"/>
        <v>7907.9362674154454</v>
      </c>
      <c r="E120" s="11">
        <f t="shared" si="3"/>
        <v>5935.5764215511208</v>
      </c>
      <c r="F120" s="11">
        <f t="shared" si="4"/>
        <v>1972.3598458643239</v>
      </c>
      <c r="G120" s="19">
        <f>IF(G119&lt;0.1,0,$E$4-SUM($E$9:E120))</f>
        <v>467430.7865858865</v>
      </c>
      <c r="H120" s="494"/>
      <c r="I120" s="27"/>
    </row>
    <row r="121" spans="1:9" x14ac:dyDescent="0.15">
      <c r="A121" s="27"/>
      <c r="B121" s="490"/>
      <c r="C121" s="12">
        <v>113</v>
      </c>
      <c r="D121" s="21">
        <f t="shared" si="5"/>
        <v>7907.9362674154454</v>
      </c>
      <c r="E121" s="11">
        <f t="shared" si="3"/>
        <v>5960.3079899742506</v>
      </c>
      <c r="F121" s="11">
        <f t="shared" si="4"/>
        <v>1947.6282774411939</v>
      </c>
      <c r="G121" s="19">
        <f>IF(G120&lt;0.1,0,$E$4-SUM($E$9:E121))</f>
        <v>461470.47859591222</v>
      </c>
      <c r="H121" s="494"/>
      <c r="I121" s="27"/>
    </row>
    <row r="122" spans="1:9" x14ac:dyDescent="0.15">
      <c r="A122" s="27"/>
      <c r="B122" s="490"/>
      <c r="C122" s="12">
        <v>114</v>
      </c>
      <c r="D122" s="21">
        <f t="shared" si="5"/>
        <v>7907.9362674154454</v>
      </c>
      <c r="E122" s="11">
        <f t="shared" si="3"/>
        <v>5985.1426065991445</v>
      </c>
      <c r="F122" s="11">
        <f t="shared" si="4"/>
        <v>1922.7936608163011</v>
      </c>
      <c r="G122" s="19">
        <f>IF(G121&lt;0.1,0,$E$4-SUM($E$9:E122))</f>
        <v>455485.33598931308</v>
      </c>
      <c r="H122" s="494"/>
      <c r="I122" s="27"/>
    </row>
    <row r="123" spans="1:9" x14ac:dyDescent="0.15">
      <c r="A123" s="27"/>
      <c r="B123" s="490"/>
      <c r="C123" s="12">
        <v>115</v>
      </c>
      <c r="D123" s="21">
        <f t="shared" si="5"/>
        <v>7907.9362674154454</v>
      </c>
      <c r="E123" s="11">
        <f t="shared" si="3"/>
        <v>6010.0807007933072</v>
      </c>
      <c r="F123" s="11">
        <f t="shared" si="4"/>
        <v>1897.8555666221378</v>
      </c>
      <c r="G123" s="19">
        <f>IF(G122&lt;0.1,0,$E$4-SUM($E$9:E123))</f>
        <v>449475.25528851978</v>
      </c>
      <c r="H123" s="494"/>
      <c r="I123" s="27"/>
    </row>
    <row r="124" spans="1:9" x14ac:dyDescent="0.15">
      <c r="A124" s="27"/>
      <c r="B124" s="490"/>
      <c r="C124" s="12">
        <v>116</v>
      </c>
      <c r="D124" s="21">
        <f t="shared" si="5"/>
        <v>7907.9362674154454</v>
      </c>
      <c r="E124" s="11">
        <f t="shared" si="3"/>
        <v>6035.1227037132794</v>
      </c>
      <c r="F124" s="11">
        <f t="shared" si="4"/>
        <v>1872.813563702166</v>
      </c>
      <c r="G124" s="19">
        <f>IF(G123&lt;0.1,0,$E$4-SUM($E$9:E124))</f>
        <v>443440.13258480653</v>
      </c>
      <c r="H124" s="494"/>
      <c r="I124" s="27"/>
    </row>
    <row r="125" spans="1:9" x14ac:dyDescent="0.15">
      <c r="A125" s="27"/>
      <c r="B125" s="490"/>
      <c r="C125" s="12">
        <v>117</v>
      </c>
      <c r="D125" s="21">
        <f t="shared" si="5"/>
        <v>7907.9362674154454</v>
      </c>
      <c r="E125" s="11">
        <f t="shared" si="3"/>
        <v>6060.2690483120841</v>
      </c>
      <c r="F125" s="11">
        <f t="shared" si="4"/>
        <v>1847.6672191033608</v>
      </c>
      <c r="G125" s="19">
        <f>IF(G124&lt;0.1,0,$E$4-SUM($E$9:E125))</f>
        <v>437379.86353649443</v>
      </c>
      <c r="H125" s="494"/>
      <c r="I125" s="27"/>
    </row>
    <row r="126" spans="1:9" x14ac:dyDescent="0.15">
      <c r="A126" s="27"/>
      <c r="B126" s="490"/>
      <c r="C126" s="12">
        <v>118</v>
      </c>
      <c r="D126" s="21">
        <f t="shared" si="5"/>
        <v>7907.9362674154454</v>
      </c>
      <c r="E126" s="11">
        <f t="shared" si="3"/>
        <v>6085.5201693467188</v>
      </c>
      <c r="F126" s="11">
        <f t="shared" si="4"/>
        <v>1822.4160980687275</v>
      </c>
      <c r="G126" s="19">
        <f>IF(G125&lt;0.1,0,$E$4-SUM($E$9:E126))</f>
        <v>431294.34336714773</v>
      </c>
      <c r="H126" s="494"/>
      <c r="I126" s="27"/>
    </row>
    <row r="127" spans="1:9" x14ac:dyDescent="0.15">
      <c r="A127" s="27"/>
      <c r="B127" s="490"/>
      <c r="C127" s="12">
        <v>119</v>
      </c>
      <c r="D127" s="21">
        <f t="shared" si="5"/>
        <v>7907.9362674154454</v>
      </c>
      <c r="E127" s="11">
        <f t="shared" si="3"/>
        <v>6110.8765033856625</v>
      </c>
      <c r="F127" s="11">
        <f t="shared" si="4"/>
        <v>1797.0597640297826</v>
      </c>
      <c r="G127" s="19">
        <f>IF(G126&lt;0.1,0,$E$4-SUM($E$9:E127))</f>
        <v>425183.46686376201</v>
      </c>
      <c r="H127" s="494"/>
      <c r="I127" s="27"/>
    </row>
    <row r="128" spans="1:9" ht="14.25" thickBot="1" x14ac:dyDescent="0.2">
      <c r="A128" s="27"/>
      <c r="B128" s="490"/>
      <c r="C128" s="12">
        <v>120</v>
      </c>
      <c r="D128" s="21">
        <f t="shared" si="5"/>
        <v>7907.9362674154454</v>
      </c>
      <c r="E128" s="11">
        <f t="shared" si="3"/>
        <v>6136.3384888164355</v>
      </c>
      <c r="F128" s="11">
        <f t="shared" si="4"/>
        <v>1771.597778599009</v>
      </c>
      <c r="G128" s="19">
        <f>IF(G127&lt;0.1,0,$E$4-SUM($E$9:E128))</f>
        <v>419047.12837494561</v>
      </c>
      <c r="H128" s="495"/>
      <c r="I128" s="27"/>
    </row>
    <row r="129" spans="1:9" x14ac:dyDescent="0.15">
      <c r="A129" s="27"/>
      <c r="B129" s="490" t="s">
        <v>138</v>
      </c>
      <c r="C129" s="12">
        <v>121</v>
      </c>
      <c r="D129" s="21">
        <f t="shared" si="5"/>
        <v>7907.9362674154454</v>
      </c>
      <c r="E129" s="11">
        <f t="shared" si="3"/>
        <v>6161.9065658531717</v>
      </c>
      <c r="F129" s="11">
        <f t="shared" si="4"/>
        <v>1746.0297015622741</v>
      </c>
      <c r="G129" s="19">
        <f>IF(G128&lt;0.1,0,$E$4-SUM($E$9:E129))</f>
        <v>412885.22180909244</v>
      </c>
      <c r="H129" s="496">
        <f>+G140</f>
        <v>343385.96809999505</v>
      </c>
      <c r="I129" s="27"/>
    </row>
    <row r="130" spans="1:9" x14ac:dyDescent="0.15">
      <c r="A130" s="27"/>
      <c r="B130" s="490"/>
      <c r="C130" s="12">
        <v>122</v>
      </c>
      <c r="D130" s="21">
        <f t="shared" si="5"/>
        <v>7907.9362674154454</v>
      </c>
      <c r="E130" s="11">
        <f t="shared" si="3"/>
        <v>6187.5811765442268</v>
      </c>
      <c r="F130" s="11">
        <f t="shared" si="4"/>
        <v>1720.3550908712189</v>
      </c>
      <c r="G130" s="19">
        <f>IF(G129&lt;0.1,0,$E$4-SUM($E$9:E130))</f>
        <v>406697.64063254825</v>
      </c>
      <c r="H130" s="494"/>
      <c r="I130" s="27"/>
    </row>
    <row r="131" spans="1:9" x14ac:dyDescent="0.15">
      <c r="A131" s="27"/>
      <c r="B131" s="490"/>
      <c r="C131" s="12">
        <v>123</v>
      </c>
      <c r="D131" s="21">
        <f t="shared" si="5"/>
        <v>7907.9362674154454</v>
      </c>
      <c r="E131" s="11">
        <f t="shared" si="3"/>
        <v>6213.3627647798276</v>
      </c>
      <c r="F131" s="11">
        <f t="shared" si="4"/>
        <v>1694.5735026356181</v>
      </c>
      <c r="G131" s="19">
        <f>IF(G130&lt;0.1,0,$E$4-SUM($E$9:E131))</f>
        <v>400484.27786776843</v>
      </c>
      <c r="H131" s="494"/>
      <c r="I131" s="27"/>
    </row>
    <row r="132" spans="1:9" x14ac:dyDescent="0.15">
      <c r="A132" s="27"/>
      <c r="B132" s="490"/>
      <c r="C132" s="12">
        <v>124</v>
      </c>
      <c r="D132" s="21">
        <f t="shared" si="5"/>
        <v>7907.9362674154454</v>
      </c>
      <c r="E132" s="11">
        <f t="shared" si="3"/>
        <v>6239.2517762997441</v>
      </c>
      <c r="F132" s="11">
        <f t="shared" si="4"/>
        <v>1668.684491115702</v>
      </c>
      <c r="G132" s="19">
        <f>IF(G131&lt;0.1,0,$E$4-SUM($E$9:E132))</f>
        <v>394245.02609146864</v>
      </c>
      <c r="H132" s="494"/>
      <c r="I132" s="27"/>
    </row>
    <row r="133" spans="1:9" x14ac:dyDescent="0.15">
      <c r="A133" s="27"/>
      <c r="B133" s="490"/>
      <c r="C133" s="12">
        <v>125</v>
      </c>
      <c r="D133" s="21">
        <f t="shared" si="5"/>
        <v>7907.9362674154454</v>
      </c>
      <c r="E133" s="11">
        <f t="shared" si="3"/>
        <v>6265.2486587009926</v>
      </c>
      <c r="F133" s="11">
        <f t="shared" si="4"/>
        <v>1642.6876087144533</v>
      </c>
      <c r="G133" s="19">
        <f>IF(G132&lt;0.1,0,$E$4-SUM($E$9:E133))</f>
        <v>387979.77743276767</v>
      </c>
      <c r="H133" s="494"/>
      <c r="I133" s="27"/>
    </row>
    <row r="134" spans="1:9" x14ac:dyDescent="0.15">
      <c r="A134" s="27"/>
      <c r="B134" s="490"/>
      <c r="C134" s="12">
        <v>126</v>
      </c>
      <c r="D134" s="21">
        <f t="shared" si="5"/>
        <v>7907.9362674154454</v>
      </c>
      <c r="E134" s="11">
        <f t="shared" si="3"/>
        <v>6291.3538614455792</v>
      </c>
      <c r="F134" s="11">
        <f t="shared" si="4"/>
        <v>1616.5824059698655</v>
      </c>
      <c r="G134" s="19">
        <f>IF(G133&lt;0.1,0,$E$4-SUM($E$9:E134))</f>
        <v>381688.42357132211</v>
      </c>
      <c r="H134" s="494"/>
      <c r="I134" s="27"/>
    </row>
    <row r="135" spans="1:9" x14ac:dyDescent="0.15">
      <c r="A135" s="27"/>
      <c r="B135" s="490"/>
      <c r="C135" s="12">
        <v>127</v>
      </c>
      <c r="D135" s="21">
        <f t="shared" si="5"/>
        <v>7907.9362674154454</v>
      </c>
      <c r="E135" s="11">
        <f t="shared" si="3"/>
        <v>6317.567835868269</v>
      </c>
      <c r="F135" s="11">
        <f t="shared" si="4"/>
        <v>1590.3684315471758</v>
      </c>
      <c r="G135" s="19">
        <f>IF(G134&lt;0.1,0,$E$4-SUM($E$9:E135))</f>
        <v>375370.85573545389</v>
      </c>
      <c r="H135" s="494"/>
      <c r="I135" s="27"/>
    </row>
    <row r="136" spans="1:9" x14ac:dyDescent="0.15">
      <c r="A136" s="27"/>
      <c r="B136" s="490"/>
      <c r="C136" s="12">
        <v>128</v>
      </c>
      <c r="D136" s="21">
        <f t="shared" si="5"/>
        <v>7907.9362674154454</v>
      </c>
      <c r="E136" s="11">
        <f t="shared" si="3"/>
        <v>6343.891035184387</v>
      </c>
      <c r="F136" s="11">
        <f t="shared" si="4"/>
        <v>1564.0452322310582</v>
      </c>
      <c r="G136" s="19">
        <f>IF(G135&lt;0.1,0,$E$4-SUM($E$9:E136))</f>
        <v>369026.96470026951</v>
      </c>
      <c r="H136" s="494"/>
      <c r="I136" s="27"/>
    </row>
    <row r="137" spans="1:9" x14ac:dyDescent="0.15">
      <c r="A137" s="27"/>
      <c r="B137" s="490"/>
      <c r="C137" s="12">
        <v>129</v>
      </c>
      <c r="D137" s="21">
        <f t="shared" si="5"/>
        <v>7907.9362674154454</v>
      </c>
      <c r="E137" s="11">
        <f t="shared" si="3"/>
        <v>6370.323914497656</v>
      </c>
      <c r="F137" s="11">
        <f t="shared" si="4"/>
        <v>1537.6123529177896</v>
      </c>
      <c r="G137" s="19">
        <f>IF(G136&lt;0.1,0,$E$4-SUM($E$9:E137))</f>
        <v>362656.64078577189</v>
      </c>
      <c r="H137" s="494"/>
      <c r="I137" s="27"/>
    </row>
    <row r="138" spans="1:9" x14ac:dyDescent="0.15">
      <c r="A138" s="27"/>
      <c r="B138" s="490"/>
      <c r="C138" s="12">
        <v>130</v>
      </c>
      <c r="D138" s="21">
        <f t="shared" si="5"/>
        <v>7907.9362674154454</v>
      </c>
      <c r="E138" s="11">
        <f t="shared" ref="E138:E201" si="6">-PPMT($G$4/12,$C138,$H$4,$E$4)</f>
        <v>6396.8669308080625</v>
      </c>
      <c r="F138" s="11">
        <f t="shared" ref="F138:F201" si="7">-IPMT($G$4/12,$C138,$H$4,$E$4)</f>
        <v>1511.0693366073826</v>
      </c>
      <c r="G138" s="19">
        <f>IF(G137&lt;0.1,0,$E$4-SUM($E$9:E138))</f>
        <v>356259.77385496383</v>
      </c>
      <c r="H138" s="494"/>
      <c r="I138" s="27"/>
    </row>
    <row r="139" spans="1:9" x14ac:dyDescent="0.15">
      <c r="A139" s="27"/>
      <c r="B139" s="490"/>
      <c r="C139" s="12">
        <v>131</v>
      </c>
      <c r="D139" s="21">
        <f t="shared" ref="D139:D202" si="8">IF(G138&lt;0.1,0,$E$7)</f>
        <v>7907.9362674154454</v>
      </c>
      <c r="E139" s="11">
        <f t="shared" si="6"/>
        <v>6423.5205430197639</v>
      </c>
      <c r="F139" s="11">
        <f t="shared" si="7"/>
        <v>1484.4157243956829</v>
      </c>
      <c r="G139" s="19">
        <f>IF(G138&lt;0.1,0,$E$4-SUM($E$9:E139))</f>
        <v>349836.25331194408</v>
      </c>
      <c r="H139" s="494"/>
      <c r="I139" s="27"/>
    </row>
    <row r="140" spans="1:9" ht="14.25" thickBot="1" x14ac:dyDescent="0.2">
      <c r="A140" s="27"/>
      <c r="B140" s="490"/>
      <c r="C140" s="12">
        <v>132</v>
      </c>
      <c r="D140" s="21">
        <f t="shared" si="8"/>
        <v>7907.9362674154454</v>
      </c>
      <c r="E140" s="11">
        <f t="shared" si="6"/>
        <v>6450.2852119490126</v>
      </c>
      <c r="F140" s="11">
        <f t="shared" si="7"/>
        <v>1457.6510554664335</v>
      </c>
      <c r="G140" s="19">
        <f>IF(G139&lt;0.1,0,$E$4-SUM($E$9:E140))</f>
        <v>343385.96809999505</v>
      </c>
      <c r="H140" s="495"/>
      <c r="I140" s="27"/>
    </row>
    <row r="141" spans="1:9" x14ac:dyDescent="0.15">
      <c r="A141" s="27"/>
      <c r="B141" s="490" t="s">
        <v>139</v>
      </c>
      <c r="C141" s="12">
        <v>133</v>
      </c>
      <c r="D141" s="21">
        <f t="shared" si="8"/>
        <v>7907.9362674154454</v>
      </c>
      <c r="E141" s="11">
        <f t="shared" si="6"/>
        <v>6477.1614003321329</v>
      </c>
      <c r="F141" s="11">
        <f t="shared" si="7"/>
        <v>1430.7748670833125</v>
      </c>
      <c r="G141" s="19">
        <f>IF(G140&lt;0.1,0,$E$4-SUM($E$9:E141))</f>
        <v>336908.80669966293</v>
      </c>
      <c r="H141" s="496">
        <f>+G152</f>
        <v>263853.83926944388</v>
      </c>
      <c r="I141" s="27"/>
    </row>
    <row r="142" spans="1:9" x14ac:dyDescent="0.15">
      <c r="A142" s="27"/>
      <c r="B142" s="490"/>
      <c r="C142" s="12">
        <v>134</v>
      </c>
      <c r="D142" s="21">
        <f t="shared" si="8"/>
        <v>7907.9362674154454</v>
      </c>
      <c r="E142" s="11">
        <f t="shared" si="6"/>
        <v>6504.1495728335167</v>
      </c>
      <c r="F142" s="11">
        <f t="shared" si="7"/>
        <v>1403.7866945819289</v>
      </c>
      <c r="G142" s="19">
        <f>IF(G141&lt;0.1,0,$E$4-SUM($E$9:E142))</f>
        <v>330404.65712682938</v>
      </c>
      <c r="H142" s="494"/>
      <c r="I142" s="27"/>
    </row>
    <row r="143" spans="1:9" x14ac:dyDescent="0.15">
      <c r="A143" s="27"/>
      <c r="B143" s="490"/>
      <c r="C143" s="12">
        <v>135</v>
      </c>
      <c r="D143" s="21">
        <f t="shared" si="8"/>
        <v>7907.9362674154454</v>
      </c>
      <c r="E143" s="11">
        <f t="shared" si="6"/>
        <v>6531.2501960536574</v>
      </c>
      <c r="F143" s="11">
        <f t="shared" si="7"/>
        <v>1376.6860713617893</v>
      </c>
      <c r="G143" s="19">
        <f>IF(G142&lt;0.1,0,$E$4-SUM($E$9:E143))</f>
        <v>323873.40693077573</v>
      </c>
      <c r="H143" s="494"/>
      <c r="I143" s="27"/>
    </row>
    <row r="144" spans="1:9" x14ac:dyDescent="0.15">
      <c r="A144" s="27"/>
      <c r="B144" s="490"/>
      <c r="C144" s="12">
        <v>136</v>
      </c>
      <c r="D144" s="21">
        <f t="shared" si="8"/>
        <v>7907.9362674154454</v>
      </c>
      <c r="E144" s="11">
        <f t="shared" si="6"/>
        <v>6558.4637385372134</v>
      </c>
      <c r="F144" s="11">
        <f t="shared" si="7"/>
        <v>1349.4725288782322</v>
      </c>
      <c r="G144" s="19">
        <f>IF(G143&lt;0.1,0,$E$4-SUM($E$9:E144))</f>
        <v>317314.94319223857</v>
      </c>
      <c r="H144" s="494"/>
      <c r="I144" s="27"/>
    </row>
    <row r="145" spans="1:9" x14ac:dyDescent="0.15">
      <c r="A145" s="27"/>
      <c r="B145" s="490"/>
      <c r="C145" s="12">
        <v>137</v>
      </c>
      <c r="D145" s="21">
        <f t="shared" si="8"/>
        <v>7907.9362674154454</v>
      </c>
      <c r="E145" s="11">
        <f t="shared" si="6"/>
        <v>6585.790670781118</v>
      </c>
      <c r="F145" s="11">
        <f t="shared" si="7"/>
        <v>1322.1455966343271</v>
      </c>
      <c r="G145" s="19">
        <f>IF(G144&lt;0.1,0,$E$4-SUM($E$9:E145))</f>
        <v>310729.15252145741</v>
      </c>
      <c r="H145" s="494"/>
      <c r="I145" s="27"/>
    </row>
    <row r="146" spans="1:9" x14ac:dyDescent="0.15">
      <c r="A146" s="27"/>
      <c r="B146" s="490"/>
      <c r="C146" s="12">
        <v>138</v>
      </c>
      <c r="D146" s="21">
        <f t="shared" si="8"/>
        <v>7907.9362674154454</v>
      </c>
      <c r="E146" s="11">
        <f t="shared" si="6"/>
        <v>6613.2314652427067</v>
      </c>
      <c r="F146" s="11">
        <f t="shared" si="7"/>
        <v>1294.7048021727392</v>
      </c>
      <c r="G146" s="19">
        <f>IF(G145&lt;0.1,0,$E$4-SUM($E$9:E146))</f>
        <v>304115.92105621472</v>
      </c>
      <c r="H146" s="494"/>
      <c r="I146" s="27"/>
    </row>
    <row r="147" spans="1:9" x14ac:dyDescent="0.15">
      <c r="A147" s="27"/>
      <c r="B147" s="490"/>
      <c r="C147" s="12">
        <v>139</v>
      </c>
      <c r="D147" s="21">
        <f t="shared" si="8"/>
        <v>7907.9362674154454</v>
      </c>
      <c r="E147" s="11">
        <f t="shared" si="6"/>
        <v>6640.7865963478844</v>
      </c>
      <c r="F147" s="11">
        <f t="shared" si="7"/>
        <v>1267.1496710675613</v>
      </c>
      <c r="G147" s="19">
        <f>IF(G146&lt;0.1,0,$E$4-SUM($E$9:E147))</f>
        <v>297475.13445986679</v>
      </c>
      <c r="H147" s="494"/>
      <c r="I147" s="27"/>
    </row>
    <row r="148" spans="1:9" x14ac:dyDescent="0.15">
      <c r="A148" s="27"/>
      <c r="B148" s="490"/>
      <c r="C148" s="12">
        <v>140</v>
      </c>
      <c r="D148" s="21">
        <f t="shared" si="8"/>
        <v>7907.9362674154454</v>
      </c>
      <c r="E148" s="11">
        <f t="shared" si="6"/>
        <v>6668.4565404993336</v>
      </c>
      <c r="F148" s="11">
        <f t="shared" si="7"/>
        <v>1239.4797269161118</v>
      </c>
      <c r="G148" s="19">
        <f>IF(G147&lt;0.1,0,$E$4-SUM($E$9:E148))</f>
        <v>290806.67791936744</v>
      </c>
      <c r="H148" s="494"/>
      <c r="I148" s="27"/>
    </row>
    <row r="149" spans="1:9" x14ac:dyDescent="0.15">
      <c r="A149" s="27"/>
      <c r="B149" s="490"/>
      <c r="C149" s="12">
        <v>141</v>
      </c>
      <c r="D149" s="21">
        <f t="shared" si="8"/>
        <v>7907.9362674154454</v>
      </c>
      <c r="E149" s="11">
        <f t="shared" si="6"/>
        <v>6696.2417760847475</v>
      </c>
      <c r="F149" s="11">
        <f t="shared" si="7"/>
        <v>1211.6944913306977</v>
      </c>
      <c r="G149" s="19">
        <f>IF(G148&lt;0.1,0,$E$4-SUM($E$9:E149))</f>
        <v>284110.43614328268</v>
      </c>
      <c r="H149" s="494"/>
      <c r="I149" s="27"/>
    </row>
    <row r="150" spans="1:9" x14ac:dyDescent="0.15">
      <c r="A150" s="27"/>
      <c r="B150" s="490"/>
      <c r="C150" s="12">
        <v>142</v>
      </c>
      <c r="D150" s="21">
        <f t="shared" si="8"/>
        <v>7907.9362674154454</v>
      </c>
      <c r="E150" s="11">
        <f t="shared" si="6"/>
        <v>6724.1427834851011</v>
      </c>
      <c r="F150" s="11">
        <f t="shared" si="7"/>
        <v>1183.7934839303448</v>
      </c>
      <c r="G150" s="19">
        <f>IF(G149&lt;0.1,0,$E$4-SUM($E$9:E150))</f>
        <v>277386.29335979756</v>
      </c>
      <c r="H150" s="494"/>
      <c r="I150" s="27"/>
    </row>
    <row r="151" spans="1:9" x14ac:dyDescent="0.15">
      <c r="A151" s="27"/>
      <c r="B151" s="490"/>
      <c r="C151" s="12">
        <v>143</v>
      </c>
      <c r="D151" s="21">
        <f t="shared" si="8"/>
        <v>7907.9362674154454</v>
      </c>
      <c r="E151" s="11">
        <f t="shared" si="6"/>
        <v>6752.1600450829555</v>
      </c>
      <c r="F151" s="11">
        <f t="shared" si="7"/>
        <v>1155.7762223324903</v>
      </c>
      <c r="G151" s="19">
        <f>IF(G150&lt;0.1,0,$E$4-SUM($E$9:E151))</f>
        <v>270634.13331471465</v>
      </c>
      <c r="H151" s="494"/>
      <c r="I151" s="27"/>
    </row>
    <row r="152" spans="1:9" ht="14.25" thickBot="1" x14ac:dyDescent="0.2">
      <c r="A152" s="27"/>
      <c r="B152" s="490"/>
      <c r="C152" s="12">
        <v>144</v>
      </c>
      <c r="D152" s="21">
        <f t="shared" si="8"/>
        <v>7907.9362674154454</v>
      </c>
      <c r="E152" s="11">
        <f t="shared" si="6"/>
        <v>6780.2940452708008</v>
      </c>
      <c r="F152" s="11">
        <f t="shared" si="7"/>
        <v>1127.6422221446446</v>
      </c>
      <c r="G152" s="19">
        <f>IF(G151&lt;0.1,0,$E$4-SUM($E$9:E152))</f>
        <v>263853.83926944388</v>
      </c>
      <c r="H152" s="495"/>
      <c r="I152" s="27"/>
    </row>
    <row r="153" spans="1:9" x14ac:dyDescent="0.15">
      <c r="A153" s="27"/>
      <c r="B153" s="490" t="s">
        <v>140</v>
      </c>
      <c r="C153" s="12">
        <v>145</v>
      </c>
      <c r="D153" s="21">
        <f t="shared" si="8"/>
        <v>7907.9362674154454</v>
      </c>
      <c r="E153" s="11">
        <f t="shared" si="6"/>
        <v>6808.545270459429</v>
      </c>
      <c r="F153" s="11">
        <f t="shared" si="7"/>
        <v>1099.3909969560161</v>
      </c>
      <c r="G153" s="19">
        <f>IF(G152&lt;0.1,0,$E$4-SUM($E$9:E153))</f>
        <v>257045.2939989845</v>
      </c>
      <c r="H153" s="496">
        <f>+G164</f>
        <v>180252.69578534737</v>
      </c>
      <c r="I153" s="27"/>
    </row>
    <row r="154" spans="1:9" x14ac:dyDescent="0.15">
      <c r="A154" s="27"/>
      <c r="B154" s="490"/>
      <c r="C154" s="12">
        <v>146</v>
      </c>
      <c r="D154" s="21">
        <f t="shared" si="8"/>
        <v>7907.9362674154454</v>
      </c>
      <c r="E154" s="11">
        <f t="shared" si="6"/>
        <v>6836.9142090863434</v>
      </c>
      <c r="F154" s="11">
        <f t="shared" si="7"/>
        <v>1071.022058329102</v>
      </c>
      <c r="G154" s="19">
        <f>IF(G153&lt;0.1,0,$E$4-SUM($E$9:E154))</f>
        <v>250208.37978989817</v>
      </c>
      <c r="H154" s="494"/>
      <c r="I154" s="27"/>
    </row>
    <row r="155" spans="1:9" x14ac:dyDescent="0.15">
      <c r="A155" s="27"/>
      <c r="B155" s="490"/>
      <c r="C155" s="12">
        <v>147</v>
      </c>
      <c r="D155" s="21">
        <f t="shared" si="8"/>
        <v>7907.9362674154454</v>
      </c>
      <c r="E155" s="11">
        <f t="shared" si="6"/>
        <v>6865.401351624203</v>
      </c>
      <c r="F155" s="11">
        <f t="shared" si="7"/>
        <v>1042.5349157912422</v>
      </c>
      <c r="G155" s="19">
        <f>IF(G154&lt;0.1,0,$E$4-SUM($E$9:E155))</f>
        <v>243342.978438274</v>
      </c>
      <c r="H155" s="494"/>
      <c r="I155" s="27"/>
    </row>
    <row r="156" spans="1:9" x14ac:dyDescent="0.15">
      <c r="A156" s="27"/>
      <c r="B156" s="490"/>
      <c r="C156" s="12">
        <v>148</v>
      </c>
      <c r="D156" s="21">
        <f t="shared" si="8"/>
        <v>7907.9362674154454</v>
      </c>
      <c r="E156" s="11">
        <f t="shared" si="6"/>
        <v>6894.0071905893037</v>
      </c>
      <c r="F156" s="11">
        <f t="shared" si="7"/>
        <v>1013.9290768261412</v>
      </c>
      <c r="G156" s="19">
        <f>IF(G155&lt;0.1,0,$E$4-SUM($E$9:E156))</f>
        <v>236448.97124768468</v>
      </c>
      <c r="H156" s="494"/>
      <c r="I156" s="27"/>
    </row>
    <row r="157" spans="1:9" x14ac:dyDescent="0.15">
      <c r="A157" s="27"/>
      <c r="B157" s="490"/>
      <c r="C157" s="12">
        <v>149</v>
      </c>
      <c r="D157" s="21">
        <f t="shared" si="8"/>
        <v>7907.9362674154454</v>
      </c>
      <c r="E157" s="11">
        <f t="shared" si="6"/>
        <v>6922.7322205500941</v>
      </c>
      <c r="F157" s="11">
        <f t="shared" si="7"/>
        <v>985.20404686535255</v>
      </c>
      <c r="G157" s="19">
        <f>IF(G156&lt;0.1,0,$E$4-SUM($E$9:E157))</f>
        <v>229526.23902713461</v>
      </c>
      <c r="H157" s="494"/>
      <c r="I157" s="27"/>
    </row>
    <row r="158" spans="1:9" x14ac:dyDescent="0.15">
      <c r="A158" s="27"/>
      <c r="B158" s="490"/>
      <c r="C158" s="12">
        <v>150</v>
      </c>
      <c r="D158" s="21">
        <f t="shared" si="8"/>
        <v>7907.9362674154454</v>
      </c>
      <c r="E158" s="11">
        <f t="shared" si="6"/>
        <v>6951.5769381357177</v>
      </c>
      <c r="F158" s="11">
        <f t="shared" si="7"/>
        <v>956.35932927972738</v>
      </c>
      <c r="G158" s="19">
        <f>IF(G157&lt;0.1,0,$E$4-SUM($E$9:E158))</f>
        <v>222574.66208899894</v>
      </c>
      <c r="H158" s="494"/>
      <c r="I158" s="27"/>
    </row>
    <row r="159" spans="1:9" x14ac:dyDescent="0.15">
      <c r="A159" s="27"/>
      <c r="B159" s="490"/>
      <c r="C159" s="12">
        <v>151</v>
      </c>
      <c r="D159" s="21">
        <f t="shared" si="8"/>
        <v>7907.9362674154454</v>
      </c>
      <c r="E159" s="11">
        <f t="shared" si="6"/>
        <v>6980.5418420446176</v>
      </c>
      <c r="F159" s="11">
        <f t="shared" si="7"/>
        <v>927.39442537082846</v>
      </c>
      <c r="G159" s="19">
        <f>IF(G158&lt;0.1,0,$E$4-SUM($E$9:E159))</f>
        <v>215594.12024695438</v>
      </c>
      <c r="H159" s="494"/>
      <c r="I159" s="27"/>
    </row>
    <row r="160" spans="1:9" x14ac:dyDescent="0.15">
      <c r="A160" s="27"/>
      <c r="B160" s="490"/>
      <c r="C160" s="12">
        <v>152</v>
      </c>
      <c r="D160" s="21">
        <f t="shared" si="8"/>
        <v>7907.9362674154454</v>
      </c>
      <c r="E160" s="11">
        <f t="shared" si="6"/>
        <v>7009.6274330531369</v>
      </c>
      <c r="F160" s="11">
        <f t="shared" si="7"/>
        <v>898.3088343623092</v>
      </c>
      <c r="G160" s="19">
        <f>IF(G159&lt;0.1,0,$E$4-SUM($E$9:E160))</f>
        <v>208584.49281390128</v>
      </c>
      <c r="H160" s="494"/>
      <c r="I160" s="27"/>
    </row>
    <row r="161" spans="1:9" x14ac:dyDescent="0.15">
      <c r="A161" s="27"/>
      <c r="B161" s="490"/>
      <c r="C161" s="12">
        <v>153</v>
      </c>
      <c r="D161" s="21">
        <f t="shared" si="8"/>
        <v>7907.9362674154454</v>
      </c>
      <c r="E161" s="11">
        <f t="shared" si="6"/>
        <v>7038.8342140241912</v>
      </c>
      <c r="F161" s="11">
        <f t="shared" si="7"/>
        <v>869.10205339125446</v>
      </c>
      <c r="G161" s="19">
        <f>IF(G160&lt;0.1,0,$E$4-SUM($E$9:E161))</f>
        <v>201545.65859987703</v>
      </c>
      <c r="H161" s="494"/>
      <c r="I161" s="27"/>
    </row>
    <row r="162" spans="1:9" x14ac:dyDescent="0.15">
      <c r="A162" s="27"/>
      <c r="B162" s="490"/>
      <c r="C162" s="12">
        <v>154</v>
      </c>
      <c r="D162" s="21">
        <f t="shared" si="8"/>
        <v>7907.9362674154454</v>
      </c>
      <c r="E162" s="11">
        <f t="shared" si="6"/>
        <v>7068.1626899159592</v>
      </c>
      <c r="F162" s="11">
        <f t="shared" si="7"/>
        <v>839.77357749948703</v>
      </c>
      <c r="G162" s="19">
        <f>IF(G161&lt;0.1,0,$E$4-SUM($E$9:E162))</f>
        <v>194477.49590996106</v>
      </c>
      <c r="H162" s="494"/>
      <c r="I162" s="27"/>
    </row>
    <row r="163" spans="1:9" x14ac:dyDescent="0.15">
      <c r="A163" s="27"/>
      <c r="B163" s="490"/>
      <c r="C163" s="12">
        <v>155</v>
      </c>
      <c r="D163" s="21">
        <f t="shared" si="8"/>
        <v>7907.9362674154454</v>
      </c>
      <c r="E163" s="11">
        <f t="shared" si="6"/>
        <v>7097.6133677906082</v>
      </c>
      <c r="F163" s="11">
        <f t="shared" si="7"/>
        <v>810.32289962483696</v>
      </c>
      <c r="G163" s="19">
        <f>IF(G162&lt;0.1,0,$E$4-SUM($E$9:E163))</f>
        <v>187379.88254217047</v>
      </c>
      <c r="H163" s="494"/>
      <c r="I163" s="27"/>
    </row>
    <row r="164" spans="1:9" ht="14.25" thickBot="1" x14ac:dyDescent="0.2">
      <c r="A164" s="27"/>
      <c r="B164" s="490"/>
      <c r="C164" s="12">
        <v>156</v>
      </c>
      <c r="D164" s="21">
        <f t="shared" si="8"/>
        <v>7907.9362674154454</v>
      </c>
      <c r="E164" s="11">
        <f t="shared" si="6"/>
        <v>7127.18675682307</v>
      </c>
      <c r="F164" s="11">
        <f t="shared" si="7"/>
        <v>780.74951059237628</v>
      </c>
      <c r="G164" s="19">
        <f>IF(G163&lt;0.1,0,$E$4-SUM($E$9:E164))</f>
        <v>180252.69578534737</v>
      </c>
      <c r="H164" s="495"/>
      <c r="I164" s="27"/>
    </row>
    <row r="165" spans="1:9" x14ac:dyDescent="0.15">
      <c r="A165" s="27"/>
      <c r="B165" s="490" t="s">
        <v>141</v>
      </c>
      <c r="C165" s="12">
        <v>157</v>
      </c>
      <c r="D165" s="21">
        <f t="shared" si="8"/>
        <v>7907.9362674154454</v>
      </c>
      <c r="E165" s="11">
        <f t="shared" si="6"/>
        <v>7156.8833683098328</v>
      </c>
      <c r="F165" s="11">
        <f t="shared" si="7"/>
        <v>751.05289910561351</v>
      </c>
      <c r="G165" s="19">
        <f>IF(G164&lt;0.1,0,$E$4-SUM($E$9:E165))</f>
        <v>173095.81241703755</v>
      </c>
      <c r="H165" s="496">
        <f>+G176</f>
        <v>92374.359135521227</v>
      </c>
      <c r="I165" s="27"/>
    </row>
    <row r="166" spans="1:9" x14ac:dyDescent="0.15">
      <c r="A166" s="27"/>
      <c r="B166" s="490"/>
      <c r="C166" s="12">
        <v>158</v>
      </c>
      <c r="D166" s="21">
        <f t="shared" si="8"/>
        <v>7907.9362674154454</v>
      </c>
      <c r="E166" s="11">
        <f t="shared" si="6"/>
        <v>7186.7037156777888</v>
      </c>
      <c r="F166" s="11">
        <f t="shared" si="7"/>
        <v>721.23255173765585</v>
      </c>
      <c r="G166" s="19">
        <f>IF(G165&lt;0.1,0,$E$4-SUM($E$9:E166))</f>
        <v>165909.10870135971</v>
      </c>
      <c r="H166" s="494"/>
      <c r="I166" s="27"/>
    </row>
    <row r="167" spans="1:9" x14ac:dyDescent="0.15">
      <c r="A167" s="27"/>
      <c r="B167" s="490"/>
      <c r="C167" s="12">
        <v>159</v>
      </c>
      <c r="D167" s="21">
        <f t="shared" si="8"/>
        <v>7907.9362674154454</v>
      </c>
      <c r="E167" s="11">
        <f t="shared" si="6"/>
        <v>7216.6483144931144</v>
      </c>
      <c r="F167" s="11">
        <f t="shared" si="7"/>
        <v>691.28795292233178</v>
      </c>
      <c r="G167" s="19">
        <f>IF(G166&lt;0.1,0,$E$4-SUM($E$9:E167))</f>
        <v>158692.46038686659</v>
      </c>
      <c r="H167" s="494"/>
      <c r="I167" s="27"/>
    </row>
    <row r="168" spans="1:9" x14ac:dyDescent="0.15">
      <c r="A168" s="27"/>
      <c r="B168" s="490"/>
      <c r="C168" s="12">
        <v>160</v>
      </c>
      <c r="D168" s="21">
        <f t="shared" si="8"/>
        <v>7907.9362674154454</v>
      </c>
      <c r="E168" s="11">
        <f t="shared" si="6"/>
        <v>7246.7176824701683</v>
      </c>
      <c r="F168" s="11">
        <f t="shared" si="7"/>
        <v>661.21858494527703</v>
      </c>
      <c r="G168" s="19">
        <f>IF(G167&lt;0.1,0,$E$4-SUM($E$9:E168))</f>
        <v>151445.74270439637</v>
      </c>
      <c r="H168" s="494"/>
      <c r="I168" s="27"/>
    </row>
    <row r="169" spans="1:9" x14ac:dyDescent="0.15">
      <c r="A169" s="27"/>
      <c r="B169" s="490"/>
      <c r="C169" s="12">
        <v>161</v>
      </c>
      <c r="D169" s="21">
        <f t="shared" si="8"/>
        <v>7907.9362674154454</v>
      </c>
      <c r="E169" s="11">
        <f t="shared" si="6"/>
        <v>7276.912339480461</v>
      </c>
      <c r="F169" s="11">
        <f t="shared" si="7"/>
        <v>631.02392793498473</v>
      </c>
      <c r="G169" s="19">
        <f>IF(G168&lt;0.1,0,$E$4-SUM($E$9:E169))</f>
        <v>144168.83036491589</v>
      </c>
      <c r="H169" s="494"/>
      <c r="I169" s="27"/>
    </row>
    <row r="170" spans="1:9" x14ac:dyDescent="0.15">
      <c r="A170" s="27"/>
      <c r="B170" s="490"/>
      <c r="C170" s="12">
        <v>162</v>
      </c>
      <c r="D170" s="21">
        <f t="shared" si="8"/>
        <v>7907.9362674154454</v>
      </c>
      <c r="E170" s="11">
        <f t="shared" si="6"/>
        <v>7307.2328075616297</v>
      </c>
      <c r="F170" s="11">
        <f t="shared" si="7"/>
        <v>600.70345985381618</v>
      </c>
      <c r="G170" s="19">
        <f>IF(G169&lt;0.1,0,$E$4-SUM($E$9:E170))</f>
        <v>136861.59755735425</v>
      </c>
      <c r="H170" s="494"/>
      <c r="I170" s="27"/>
    </row>
    <row r="171" spans="1:9" x14ac:dyDescent="0.15">
      <c r="A171" s="27"/>
      <c r="B171" s="490"/>
      <c r="C171" s="12">
        <v>163</v>
      </c>
      <c r="D171" s="21">
        <f t="shared" si="8"/>
        <v>7907.9362674154454</v>
      </c>
      <c r="E171" s="11">
        <f t="shared" si="6"/>
        <v>7337.6796109264696</v>
      </c>
      <c r="F171" s="11">
        <f t="shared" si="7"/>
        <v>570.25665648897609</v>
      </c>
      <c r="G171" s="19">
        <f>IF(G170&lt;0.1,0,$E$4-SUM($E$9:E171))</f>
        <v>129523.91794642783</v>
      </c>
      <c r="H171" s="494"/>
      <c r="I171" s="27"/>
    </row>
    <row r="172" spans="1:9" x14ac:dyDescent="0.15">
      <c r="A172" s="27"/>
      <c r="B172" s="490"/>
      <c r="C172" s="12">
        <v>164</v>
      </c>
      <c r="D172" s="21">
        <f t="shared" si="8"/>
        <v>7907.9362674154454</v>
      </c>
      <c r="E172" s="11">
        <f t="shared" si="6"/>
        <v>7368.253275971997</v>
      </c>
      <c r="F172" s="11">
        <f t="shared" si="7"/>
        <v>539.68299144344917</v>
      </c>
      <c r="G172" s="19">
        <f>IF(G171&lt;0.1,0,$E$4-SUM($E$9:E172))</f>
        <v>122155.66467045585</v>
      </c>
      <c r="H172" s="494"/>
      <c r="I172" s="27"/>
    </row>
    <row r="173" spans="1:9" x14ac:dyDescent="0.15">
      <c r="A173" s="27"/>
      <c r="B173" s="490"/>
      <c r="C173" s="12">
        <v>165</v>
      </c>
      <c r="D173" s="21">
        <f t="shared" si="8"/>
        <v>7907.9362674154454</v>
      </c>
      <c r="E173" s="11">
        <f t="shared" si="6"/>
        <v>7398.9543312885462</v>
      </c>
      <c r="F173" s="11">
        <f t="shared" si="7"/>
        <v>508.98193612689914</v>
      </c>
      <c r="G173" s="19">
        <f>IF(G172&lt;0.1,0,$E$4-SUM($E$9:E173))</f>
        <v>114756.71033916727</v>
      </c>
      <c r="H173" s="494"/>
      <c r="I173" s="27"/>
    </row>
    <row r="174" spans="1:9" x14ac:dyDescent="0.15">
      <c r="A174" s="27"/>
      <c r="B174" s="490"/>
      <c r="C174" s="12">
        <v>166</v>
      </c>
      <c r="D174" s="21">
        <f t="shared" si="8"/>
        <v>7907.9362674154454</v>
      </c>
      <c r="E174" s="11">
        <f t="shared" si="6"/>
        <v>7429.7833076689158</v>
      </c>
      <c r="F174" s="11">
        <f t="shared" si="7"/>
        <v>478.15295974653014</v>
      </c>
      <c r="G174" s="19">
        <f>IF(G173&lt;0.1,0,$E$4-SUM($E$9:E174))</f>
        <v>107326.9270314984</v>
      </c>
      <c r="H174" s="494"/>
      <c r="I174" s="27"/>
    </row>
    <row r="175" spans="1:9" x14ac:dyDescent="0.15">
      <c r="A175" s="27"/>
      <c r="B175" s="490"/>
      <c r="C175" s="12">
        <v>167</v>
      </c>
      <c r="D175" s="21">
        <f t="shared" si="8"/>
        <v>7907.9362674154454</v>
      </c>
      <c r="E175" s="11">
        <f t="shared" si="6"/>
        <v>7460.7407381175353</v>
      </c>
      <c r="F175" s="11">
        <f t="shared" si="7"/>
        <v>447.19552929790979</v>
      </c>
      <c r="G175" s="19">
        <f>IF(G174&lt;0.1,0,$E$4-SUM($E$9:E175))</f>
        <v>99866.186293380917</v>
      </c>
      <c r="H175" s="494"/>
      <c r="I175" s="27"/>
    </row>
    <row r="176" spans="1:9" ht="14.25" thickBot="1" x14ac:dyDescent="0.2">
      <c r="A176" s="27"/>
      <c r="B176" s="490"/>
      <c r="C176" s="12">
        <v>168</v>
      </c>
      <c r="D176" s="21">
        <f t="shared" si="8"/>
        <v>7907.9362674154454</v>
      </c>
      <c r="E176" s="11">
        <f t="shared" si="6"/>
        <v>7491.8271578596923</v>
      </c>
      <c r="F176" s="11">
        <f t="shared" si="7"/>
        <v>416.10910955575332</v>
      </c>
      <c r="G176" s="19">
        <f>IF(G175&lt;0.1,0,$E$4-SUM($E$9:E176))</f>
        <v>92374.359135521227</v>
      </c>
      <c r="H176" s="495"/>
      <c r="I176" s="27"/>
    </row>
    <row r="177" spans="1:9" x14ac:dyDescent="0.15">
      <c r="A177" s="27"/>
      <c r="B177" s="490" t="s">
        <v>142</v>
      </c>
      <c r="C177" s="12">
        <v>169</v>
      </c>
      <c r="D177" s="21">
        <f t="shared" si="8"/>
        <v>7907.9362674154454</v>
      </c>
      <c r="E177" s="11">
        <f t="shared" si="6"/>
        <v>7523.0431043507742</v>
      </c>
      <c r="F177" s="11">
        <f t="shared" si="7"/>
        <v>384.89316306467128</v>
      </c>
      <c r="G177" s="19">
        <f>IF(G176&lt;0.1,0,$E$4-SUM($E$9:E177))</f>
        <v>84851.316031170427</v>
      </c>
      <c r="H177" s="496">
        <f>+G188</f>
        <v>1.1641532182693481E-10</v>
      </c>
      <c r="I177" s="27"/>
    </row>
    <row r="178" spans="1:9" x14ac:dyDescent="0.15">
      <c r="A178" s="27"/>
      <c r="B178" s="490"/>
      <c r="C178" s="12">
        <v>170</v>
      </c>
      <c r="D178" s="21">
        <f t="shared" si="8"/>
        <v>7907.9362674154454</v>
      </c>
      <c r="E178" s="11">
        <f t="shared" si="6"/>
        <v>7554.3891172855692</v>
      </c>
      <c r="F178" s="11">
        <f t="shared" si="7"/>
        <v>353.5471501298764</v>
      </c>
      <c r="G178" s="19">
        <f>IF(G177&lt;0.1,0,$E$4-SUM($E$9:E178))</f>
        <v>77296.926913884818</v>
      </c>
      <c r="H178" s="494"/>
      <c r="I178" s="27"/>
    </row>
    <row r="179" spans="1:9" x14ac:dyDescent="0.15">
      <c r="A179" s="27"/>
      <c r="B179" s="490"/>
      <c r="C179" s="12">
        <v>171</v>
      </c>
      <c r="D179" s="21">
        <f t="shared" si="8"/>
        <v>7907.9362674154454</v>
      </c>
      <c r="E179" s="11">
        <f t="shared" si="6"/>
        <v>7585.865738607592</v>
      </c>
      <c r="F179" s="11">
        <f t="shared" si="7"/>
        <v>322.07052880785318</v>
      </c>
      <c r="G179" s="19">
        <f>IF(G178&lt;0.1,0,$E$4-SUM($E$9:E179))</f>
        <v>69711.061175277224</v>
      </c>
      <c r="H179" s="494"/>
      <c r="I179" s="27"/>
    </row>
    <row r="180" spans="1:9" x14ac:dyDescent="0.15">
      <c r="A180" s="27"/>
      <c r="B180" s="490"/>
      <c r="C180" s="12">
        <v>172</v>
      </c>
      <c r="D180" s="21">
        <f t="shared" si="8"/>
        <v>7907.9362674154454</v>
      </c>
      <c r="E180" s="11">
        <f t="shared" si="6"/>
        <v>7617.473512518457</v>
      </c>
      <c r="F180" s="11">
        <f t="shared" si="7"/>
        <v>290.46275489698826</v>
      </c>
      <c r="G180" s="19">
        <f>IF(G179&lt;0.1,0,$E$4-SUM($E$9:E180))</f>
        <v>62093.587662758771</v>
      </c>
      <c r="H180" s="494"/>
      <c r="I180" s="27"/>
    </row>
    <row r="181" spans="1:9" x14ac:dyDescent="0.15">
      <c r="A181" s="27"/>
      <c r="B181" s="490"/>
      <c r="C181" s="12">
        <v>173</v>
      </c>
      <c r="D181" s="21">
        <f t="shared" si="8"/>
        <v>7907.9362674154454</v>
      </c>
      <c r="E181" s="11">
        <f t="shared" si="6"/>
        <v>7649.2129854872837</v>
      </c>
      <c r="F181" s="11">
        <f t="shared" si="7"/>
        <v>258.72328192816133</v>
      </c>
      <c r="G181" s="19">
        <f>IF(G180&lt;0.1,0,$E$4-SUM($E$9:E181))</f>
        <v>54444.374677271466</v>
      </c>
      <c r="H181" s="494"/>
      <c r="I181" s="27"/>
    </row>
    <row r="182" spans="1:9" x14ac:dyDescent="0.15">
      <c r="A182" s="27"/>
      <c r="B182" s="490"/>
      <c r="C182" s="12">
        <v>174</v>
      </c>
      <c r="D182" s="21">
        <f t="shared" si="8"/>
        <v>7907.9362674154454</v>
      </c>
      <c r="E182" s="11">
        <f t="shared" si="6"/>
        <v>7681.0847062601488</v>
      </c>
      <c r="F182" s="11">
        <f t="shared" si="7"/>
        <v>226.85156115529767</v>
      </c>
      <c r="G182" s="19">
        <f>IF(G181&lt;0.1,0,$E$4-SUM($E$9:E182))</f>
        <v>46763.289971011342</v>
      </c>
      <c r="H182" s="494"/>
      <c r="I182" s="27"/>
    </row>
    <row r="183" spans="1:9" x14ac:dyDescent="0.15">
      <c r="A183" s="27"/>
      <c r="B183" s="490"/>
      <c r="C183" s="12">
        <v>175</v>
      </c>
      <c r="D183" s="21">
        <f t="shared" si="8"/>
        <v>7907.9362674154454</v>
      </c>
      <c r="E183" s="11">
        <f t="shared" si="6"/>
        <v>7713.0892258695658</v>
      </c>
      <c r="F183" s="11">
        <f t="shared" si="7"/>
        <v>194.84704154588039</v>
      </c>
      <c r="G183" s="19">
        <f>IF(G182&lt;0.1,0,$E$4-SUM($E$9:E183))</f>
        <v>39050.200745141832</v>
      </c>
      <c r="H183" s="494"/>
      <c r="I183" s="27"/>
    </row>
    <row r="184" spans="1:9" x14ac:dyDescent="0.15">
      <c r="A184" s="27"/>
      <c r="B184" s="490"/>
      <c r="C184" s="12">
        <v>176</v>
      </c>
      <c r="D184" s="21">
        <f t="shared" si="8"/>
        <v>7907.9362674154454</v>
      </c>
      <c r="E184" s="11">
        <f t="shared" si="6"/>
        <v>7745.2270976440223</v>
      </c>
      <c r="F184" s="11">
        <f t="shared" si="7"/>
        <v>162.70916977142383</v>
      </c>
      <c r="G184" s="19">
        <f>IF(G183&lt;0.1,0,$E$4-SUM($E$9:E184))</f>
        <v>31304.973647497827</v>
      </c>
      <c r="H184" s="494"/>
      <c r="I184" s="27"/>
    </row>
    <row r="185" spans="1:9" x14ac:dyDescent="0.15">
      <c r="A185" s="27"/>
      <c r="B185" s="490"/>
      <c r="C185" s="12">
        <v>177</v>
      </c>
      <c r="D185" s="21">
        <f t="shared" si="8"/>
        <v>7907.9362674154454</v>
      </c>
      <c r="E185" s="11">
        <f t="shared" si="6"/>
        <v>7777.4988772175384</v>
      </c>
      <c r="F185" s="11">
        <f t="shared" si="7"/>
        <v>130.43739019790709</v>
      </c>
      <c r="G185" s="19">
        <f>IF(G184&lt;0.1,0,$E$4-SUM($E$9:E185))</f>
        <v>23527.4747702803</v>
      </c>
      <c r="H185" s="494"/>
      <c r="I185" s="27"/>
    </row>
    <row r="186" spans="1:9" x14ac:dyDescent="0.15">
      <c r="A186" s="27"/>
      <c r="B186" s="490"/>
      <c r="C186" s="12">
        <v>178</v>
      </c>
      <c r="D186" s="21">
        <f t="shared" si="8"/>
        <v>7907.9362674154454</v>
      </c>
      <c r="E186" s="11">
        <f t="shared" si="6"/>
        <v>7809.9051225392777</v>
      </c>
      <c r="F186" s="11">
        <f t="shared" si="7"/>
        <v>98.031144876167374</v>
      </c>
      <c r="G186" s="19">
        <f>IF(G185&lt;0.1,0,$E$4-SUM($E$9:E186))</f>
        <v>15717.569647741038</v>
      </c>
      <c r="H186" s="494"/>
      <c r="I186" s="27"/>
    </row>
    <row r="187" spans="1:9" x14ac:dyDescent="0.15">
      <c r="A187" s="27"/>
      <c r="B187" s="490"/>
      <c r="C187" s="12">
        <v>179</v>
      </c>
      <c r="D187" s="21">
        <f t="shared" si="8"/>
        <v>7907.9362674154454</v>
      </c>
      <c r="E187" s="11">
        <f t="shared" si="6"/>
        <v>7842.4463938831923</v>
      </c>
      <c r="F187" s="11">
        <f t="shared" si="7"/>
        <v>65.489873532253725</v>
      </c>
      <c r="G187" s="19">
        <f>IF(G186&lt;0.1,0,$E$4-SUM($E$9:E187))</f>
        <v>7875.1232538578333</v>
      </c>
      <c r="H187" s="494"/>
      <c r="I187" s="27"/>
    </row>
    <row r="188" spans="1:9" ht="14.25" thickBot="1" x14ac:dyDescent="0.2">
      <c r="A188" s="27"/>
      <c r="B188" s="490"/>
      <c r="C188" s="12">
        <v>180</v>
      </c>
      <c r="D188" s="21">
        <f t="shared" si="8"/>
        <v>7907.9362674154454</v>
      </c>
      <c r="E188" s="11">
        <f t="shared" si="6"/>
        <v>7875.1232538577051</v>
      </c>
      <c r="F188" s="11">
        <f t="shared" si="7"/>
        <v>32.813013557740433</v>
      </c>
      <c r="G188" s="19">
        <f>IF(G187&lt;0.1,0,$E$4-SUM($E$9:E188))</f>
        <v>1.1641532182693481E-10</v>
      </c>
      <c r="H188" s="495"/>
      <c r="I188" s="27"/>
    </row>
    <row r="189" spans="1:9" x14ac:dyDescent="0.15">
      <c r="A189" s="27"/>
      <c r="B189" s="490" t="s">
        <v>143</v>
      </c>
      <c r="C189" s="12">
        <v>181</v>
      </c>
      <c r="D189" s="21">
        <f t="shared" si="8"/>
        <v>0</v>
      </c>
      <c r="E189" s="11" t="e">
        <f t="shared" si="6"/>
        <v>#NUM!</v>
      </c>
      <c r="F189" s="11" t="e">
        <f t="shared" si="7"/>
        <v>#NUM!</v>
      </c>
      <c r="G189" s="19">
        <f>IF(G188&lt;0.1,0,$E$4-SUM($E$9:E189))</f>
        <v>0</v>
      </c>
      <c r="H189" s="496">
        <f>+G200</f>
        <v>0</v>
      </c>
      <c r="I189" s="27"/>
    </row>
    <row r="190" spans="1:9" x14ac:dyDescent="0.15">
      <c r="A190" s="27"/>
      <c r="B190" s="490"/>
      <c r="C190" s="12">
        <v>182</v>
      </c>
      <c r="D190" s="21">
        <f t="shared" si="8"/>
        <v>0</v>
      </c>
      <c r="E190" s="11" t="e">
        <f t="shared" si="6"/>
        <v>#NUM!</v>
      </c>
      <c r="F190" s="11" t="e">
        <f t="shared" si="7"/>
        <v>#NUM!</v>
      </c>
      <c r="G190" s="19">
        <f>IF(G189&lt;0.1,0,$E$4-SUM($E$9:E190))</f>
        <v>0</v>
      </c>
      <c r="H190" s="494"/>
      <c r="I190" s="27"/>
    </row>
    <row r="191" spans="1:9" x14ac:dyDescent="0.15">
      <c r="A191" s="27"/>
      <c r="B191" s="490"/>
      <c r="C191" s="12">
        <v>183</v>
      </c>
      <c r="D191" s="21">
        <f t="shared" si="8"/>
        <v>0</v>
      </c>
      <c r="E191" s="11" t="e">
        <f t="shared" si="6"/>
        <v>#NUM!</v>
      </c>
      <c r="F191" s="11" t="e">
        <f t="shared" si="7"/>
        <v>#NUM!</v>
      </c>
      <c r="G191" s="19">
        <f>IF(G190&lt;0.1,0,$E$4-SUM($E$9:E191))</f>
        <v>0</v>
      </c>
      <c r="H191" s="494"/>
      <c r="I191" s="27"/>
    </row>
    <row r="192" spans="1:9" x14ac:dyDescent="0.15">
      <c r="A192" s="27"/>
      <c r="B192" s="490"/>
      <c r="C192" s="12">
        <v>184</v>
      </c>
      <c r="D192" s="21">
        <f t="shared" si="8"/>
        <v>0</v>
      </c>
      <c r="E192" s="11" t="e">
        <f t="shared" si="6"/>
        <v>#NUM!</v>
      </c>
      <c r="F192" s="11" t="e">
        <f t="shared" si="7"/>
        <v>#NUM!</v>
      </c>
      <c r="G192" s="19">
        <f>IF(G191&lt;0.1,0,$E$4-SUM($E$9:E192))</f>
        <v>0</v>
      </c>
      <c r="H192" s="494"/>
      <c r="I192" s="27"/>
    </row>
    <row r="193" spans="1:9" x14ac:dyDescent="0.15">
      <c r="A193" s="27"/>
      <c r="B193" s="490"/>
      <c r="C193" s="12">
        <v>185</v>
      </c>
      <c r="D193" s="21">
        <f t="shared" si="8"/>
        <v>0</v>
      </c>
      <c r="E193" s="11" t="e">
        <f t="shared" si="6"/>
        <v>#NUM!</v>
      </c>
      <c r="F193" s="11" t="e">
        <f t="shared" si="7"/>
        <v>#NUM!</v>
      </c>
      <c r="G193" s="19">
        <f>IF(G192&lt;0.1,0,$E$4-SUM($E$9:E193))</f>
        <v>0</v>
      </c>
      <c r="H193" s="494"/>
      <c r="I193" s="27"/>
    </row>
    <row r="194" spans="1:9" x14ac:dyDescent="0.15">
      <c r="A194" s="27"/>
      <c r="B194" s="490"/>
      <c r="C194" s="12">
        <v>186</v>
      </c>
      <c r="D194" s="21">
        <f t="shared" si="8"/>
        <v>0</v>
      </c>
      <c r="E194" s="11" t="e">
        <f t="shared" si="6"/>
        <v>#NUM!</v>
      </c>
      <c r="F194" s="11" t="e">
        <f t="shared" si="7"/>
        <v>#NUM!</v>
      </c>
      <c r="G194" s="19">
        <f>IF(G193&lt;0.1,0,$E$4-SUM($E$9:E194))</f>
        <v>0</v>
      </c>
      <c r="H194" s="494"/>
      <c r="I194" s="27"/>
    </row>
    <row r="195" spans="1:9" x14ac:dyDescent="0.15">
      <c r="A195" s="27"/>
      <c r="B195" s="490"/>
      <c r="C195" s="12">
        <v>187</v>
      </c>
      <c r="D195" s="21">
        <f t="shared" si="8"/>
        <v>0</v>
      </c>
      <c r="E195" s="11" t="e">
        <f t="shared" si="6"/>
        <v>#NUM!</v>
      </c>
      <c r="F195" s="11" t="e">
        <f t="shared" si="7"/>
        <v>#NUM!</v>
      </c>
      <c r="G195" s="19">
        <f>IF(G194&lt;0.1,0,$E$4-SUM($E$9:E195))</f>
        <v>0</v>
      </c>
      <c r="H195" s="494"/>
      <c r="I195" s="27"/>
    </row>
    <row r="196" spans="1:9" x14ac:dyDescent="0.15">
      <c r="A196" s="27"/>
      <c r="B196" s="490"/>
      <c r="C196" s="12">
        <v>188</v>
      </c>
      <c r="D196" s="21">
        <f t="shared" si="8"/>
        <v>0</v>
      </c>
      <c r="E196" s="11" t="e">
        <f t="shared" si="6"/>
        <v>#NUM!</v>
      </c>
      <c r="F196" s="11" t="e">
        <f t="shared" si="7"/>
        <v>#NUM!</v>
      </c>
      <c r="G196" s="19">
        <f>IF(G195&lt;0.1,0,$E$4-SUM($E$9:E196))</f>
        <v>0</v>
      </c>
      <c r="H196" s="494"/>
      <c r="I196" s="27"/>
    </row>
    <row r="197" spans="1:9" x14ac:dyDescent="0.15">
      <c r="A197" s="27"/>
      <c r="B197" s="490"/>
      <c r="C197" s="12">
        <v>189</v>
      </c>
      <c r="D197" s="21">
        <f t="shared" si="8"/>
        <v>0</v>
      </c>
      <c r="E197" s="11" t="e">
        <f t="shared" si="6"/>
        <v>#NUM!</v>
      </c>
      <c r="F197" s="11" t="e">
        <f t="shared" si="7"/>
        <v>#NUM!</v>
      </c>
      <c r="G197" s="19">
        <f>IF(G196&lt;0.1,0,$E$4-SUM($E$9:E197))</f>
        <v>0</v>
      </c>
      <c r="H197" s="494"/>
      <c r="I197" s="27"/>
    </row>
    <row r="198" spans="1:9" x14ac:dyDescent="0.15">
      <c r="A198" s="27"/>
      <c r="B198" s="490"/>
      <c r="C198" s="12">
        <v>190</v>
      </c>
      <c r="D198" s="21">
        <f t="shared" si="8"/>
        <v>0</v>
      </c>
      <c r="E198" s="11" t="e">
        <f t="shared" si="6"/>
        <v>#NUM!</v>
      </c>
      <c r="F198" s="11" t="e">
        <f t="shared" si="7"/>
        <v>#NUM!</v>
      </c>
      <c r="G198" s="19">
        <f>IF(G197&lt;0.1,0,$E$4-SUM($E$9:E198))</f>
        <v>0</v>
      </c>
      <c r="H198" s="494"/>
      <c r="I198" s="27"/>
    </row>
    <row r="199" spans="1:9" x14ac:dyDescent="0.15">
      <c r="A199" s="27"/>
      <c r="B199" s="490"/>
      <c r="C199" s="12">
        <v>191</v>
      </c>
      <c r="D199" s="21">
        <f t="shared" si="8"/>
        <v>0</v>
      </c>
      <c r="E199" s="11" t="e">
        <f t="shared" si="6"/>
        <v>#NUM!</v>
      </c>
      <c r="F199" s="11" t="e">
        <f t="shared" si="7"/>
        <v>#NUM!</v>
      </c>
      <c r="G199" s="19">
        <f>IF(G198&lt;0.1,0,$E$4-SUM($E$9:E199))</f>
        <v>0</v>
      </c>
      <c r="H199" s="494"/>
      <c r="I199" s="27"/>
    </row>
    <row r="200" spans="1:9" ht="14.25" thickBot="1" x14ac:dyDescent="0.2">
      <c r="A200" s="27"/>
      <c r="B200" s="490"/>
      <c r="C200" s="12">
        <v>192</v>
      </c>
      <c r="D200" s="21">
        <f t="shared" si="8"/>
        <v>0</v>
      </c>
      <c r="E200" s="11" t="e">
        <f t="shared" si="6"/>
        <v>#NUM!</v>
      </c>
      <c r="F200" s="11" t="e">
        <f t="shared" si="7"/>
        <v>#NUM!</v>
      </c>
      <c r="G200" s="19">
        <f>IF(G199&lt;0.1,0,$E$4-SUM($E$9:E200))</f>
        <v>0</v>
      </c>
      <c r="H200" s="495"/>
      <c r="I200" s="27"/>
    </row>
    <row r="201" spans="1:9" x14ac:dyDescent="0.15">
      <c r="A201" s="27"/>
      <c r="B201" s="490" t="s">
        <v>144</v>
      </c>
      <c r="C201" s="12">
        <v>193</v>
      </c>
      <c r="D201" s="21">
        <f t="shared" si="8"/>
        <v>0</v>
      </c>
      <c r="E201" s="11" t="e">
        <f t="shared" si="6"/>
        <v>#NUM!</v>
      </c>
      <c r="F201" s="11" t="e">
        <f t="shared" si="7"/>
        <v>#NUM!</v>
      </c>
      <c r="G201" s="19">
        <f>IF(G200&lt;0.1,0,$E$4-SUM($E$9:E201))</f>
        <v>0</v>
      </c>
      <c r="H201" s="496">
        <f>+G212</f>
        <v>0</v>
      </c>
      <c r="I201" s="27"/>
    </row>
    <row r="202" spans="1:9" x14ac:dyDescent="0.15">
      <c r="A202" s="27"/>
      <c r="B202" s="490"/>
      <c r="C202" s="12">
        <v>194</v>
      </c>
      <c r="D202" s="21">
        <f t="shared" si="8"/>
        <v>0</v>
      </c>
      <c r="E202" s="11" t="e">
        <f t="shared" ref="E202:E265" si="9">-PPMT($G$4/12,$C202,$H$4,$E$4)</f>
        <v>#NUM!</v>
      </c>
      <c r="F202" s="11" t="e">
        <f t="shared" ref="F202:F265" si="10">-IPMT($G$4/12,$C202,$H$4,$E$4)</f>
        <v>#NUM!</v>
      </c>
      <c r="G202" s="19">
        <f>IF(G201&lt;0.1,0,$E$4-SUM($E$9:E202))</f>
        <v>0</v>
      </c>
      <c r="H202" s="494"/>
      <c r="I202" s="27"/>
    </row>
    <row r="203" spans="1:9" x14ac:dyDescent="0.15">
      <c r="A203" s="27"/>
      <c r="B203" s="490"/>
      <c r="C203" s="12">
        <v>195</v>
      </c>
      <c r="D203" s="21">
        <f t="shared" ref="D203:D266" si="11">IF(G202&lt;0.1,0,$E$7)</f>
        <v>0</v>
      </c>
      <c r="E203" s="11" t="e">
        <f t="shared" si="9"/>
        <v>#NUM!</v>
      </c>
      <c r="F203" s="11" t="e">
        <f t="shared" si="10"/>
        <v>#NUM!</v>
      </c>
      <c r="G203" s="19">
        <f>IF(G202&lt;0.1,0,$E$4-SUM($E$9:E203))</f>
        <v>0</v>
      </c>
      <c r="H203" s="494"/>
      <c r="I203" s="27"/>
    </row>
    <row r="204" spans="1:9" x14ac:dyDescent="0.15">
      <c r="A204" s="27"/>
      <c r="B204" s="490"/>
      <c r="C204" s="12">
        <v>196</v>
      </c>
      <c r="D204" s="21">
        <f t="shared" si="11"/>
        <v>0</v>
      </c>
      <c r="E204" s="11" t="e">
        <f t="shared" si="9"/>
        <v>#NUM!</v>
      </c>
      <c r="F204" s="11" t="e">
        <f t="shared" si="10"/>
        <v>#NUM!</v>
      </c>
      <c r="G204" s="19">
        <f>IF(G203&lt;0.1,0,$E$4-SUM($E$9:E204))</f>
        <v>0</v>
      </c>
      <c r="H204" s="494"/>
      <c r="I204" s="27"/>
    </row>
    <row r="205" spans="1:9" x14ac:dyDescent="0.15">
      <c r="A205" s="27"/>
      <c r="B205" s="490"/>
      <c r="C205" s="12">
        <v>197</v>
      </c>
      <c r="D205" s="21">
        <f t="shared" si="11"/>
        <v>0</v>
      </c>
      <c r="E205" s="11" t="e">
        <f t="shared" si="9"/>
        <v>#NUM!</v>
      </c>
      <c r="F205" s="11" t="e">
        <f t="shared" si="10"/>
        <v>#NUM!</v>
      </c>
      <c r="G205" s="19">
        <f>IF(G204&lt;0.1,0,$E$4-SUM($E$9:E205))</f>
        <v>0</v>
      </c>
      <c r="H205" s="494"/>
      <c r="I205" s="27"/>
    </row>
    <row r="206" spans="1:9" x14ac:dyDescent="0.15">
      <c r="A206" s="27"/>
      <c r="B206" s="490"/>
      <c r="C206" s="12">
        <v>198</v>
      </c>
      <c r="D206" s="21">
        <f t="shared" si="11"/>
        <v>0</v>
      </c>
      <c r="E206" s="11" t="e">
        <f t="shared" si="9"/>
        <v>#NUM!</v>
      </c>
      <c r="F206" s="11" t="e">
        <f t="shared" si="10"/>
        <v>#NUM!</v>
      </c>
      <c r="G206" s="19">
        <f>IF(G205&lt;0.1,0,$E$4-SUM($E$9:E206))</f>
        <v>0</v>
      </c>
      <c r="H206" s="494"/>
      <c r="I206" s="27"/>
    </row>
    <row r="207" spans="1:9" x14ac:dyDescent="0.15">
      <c r="A207" s="27"/>
      <c r="B207" s="490"/>
      <c r="C207" s="12">
        <v>199</v>
      </c>
      <c r="D207" s="21">
        <f t="shared" si="11"/>
        <v>0</v>
      </c>
      <c r="E207" s="11" t="e">
        <f t="shared" si="9"/>
        <v>#NUM!</v>
      </c>
      <c r="F207" s="11" t="e">
        <f t="shared" si="10"/>
        <v>#NUM!</v>
      </c>
      <c r="G207" s="19">
        <f>IF(G206&lt;0.1,0,$E$4-SUM($E$9:E207))</f>
        <v>0</v>
      </c>
      <c r="H207" s="494"/>
      <c r="I207" s="27"/>
    </row>
    <row r="208" spans="1:9" x14ac:dyDescent="0.15">
      <c r="A208" s="27"/>
      <c r="B208" s="490"/>
      <c r="C208" s="12">
        <v>200</v>
      </c>
      <c r="D208" s="21">
        <f t="shared" si="11"/>
        <v>0</v>
      </c>
      <c r="E208" s="11" t="e">
        <f t="shared" si="9"/>
        <v>#NUM!</v>
      </c>
      <c r="F208" s="11" t="e">
        <f t="shared" si="10"/>
        <v>#NUM!</v>
      </c>
      <c r="G208" s="19">
        <f>IF(G207&lt;0.1,0,$E$4-SUM($E$9:E208))</f>
        <v>0</v>
      </c>
      <c r="H208" s="494"/>
      <c r="I208" s="27"/>
    </row>
    <row r="209" spans="1:9" x14ac:dyDescent="0.15">
      <c r="A209" s="27"/>
      <c r="B209" s="490"/>
      <c r="C209" s="12">
        <v>201</v>
      </c>
      <c r="D209" s="21">
        <f t="shared" si="11"/>
        <v>0</v>
      </c>
      <c r="E209" s="11" t="e">
        <f t="shared" si="9"/>
        <v>#NUM!</v>
      </c>
      <c r="F209" s="11" t="e">
        <f t="shared" si="10"/>
        <v>#NUM!</v>
      </c>
      <c r="G209" s="19">
        <f>IF(G208&lt;0.1,0,$E$4-SUM($E$9:E209))</f>
        <v>0</v>
      </c>
      <c r="H209" s="494"/>
      <c r="I209" s="27"/>
    </row>
    <row r="210" spans="1:9" x14ac:dyDescent="0.15">
      <c r="A210" s="27"/>
      <c r="B210" s="490"/>
      <c r="C210" s="12">
        <v>202</v>
      </c>
      <c r="D210" s="21">
        <f t="shared" si="11"/>
        <v>0</v>
      </c>
      <c r="E210" s="11" t="e">
        <f t="shared" si="9"/>
        <v>#NUM!</v>
      </c>
      <c r="F210" s="11" t="e">
        <f t="shared" si="10"/>
        <v>#NUM!</v>
      </c>
      <c r="G210" s="19">
        <f>IF(G209&lt;0.1,0,$E$4-SUM($E$9:E210))</f>
        <v>0</v>
      </c>
      <c r="H210" s="494"/>
      <c r="I210" s="27"/>
    </row>
    <row r="211" spans="1:9" x14ac:dyDescent="0.15">
      <c r="A211" s="27"/>
      <c r="B211" s="490"/>
      <c r="C211" s="12">
        <v>203</v>
      </c>
      <c r="D211" s="21">
        <f t="shared" si="11"/>
        <v>0</v>
      </c>
      <c r="E211" s="11" t="e">
        <f t="shared" si="9"/>
        <v>#NUM!</v>
      </c>
      <c r="F211" s="11" t="e">
        <f t="shared" si="10"/>
        <v>#NUM!</v>
      </c>
      <c r="G211" s="19">
        <f>IF(G210&lt;0.1,0,$E$4-SUM($E$9:E211))</f>
        <v>0</v>
      </c>
      <c r="H211" s="494"/>
      <c r="I211" s="27"/>
    </row>
    <row r="212" spans="1:9" ht="14.25" thickBot="1" x14ac:dyDescent="0.2">
      <c r="A212" s="27"/>
      <c r="B212" s="490"/>
      <c r="C212" s="12">
        <v>204</v>
      </c>
      <c r="D212" s="21">
        <f t="shared" si="11"/>
        <v>0</v>
      </c>
      <c r="E212" s="11" t="e">
        <f t="shared" si="9"/>
        <v>#NUM!</v>
      </c>
      <c r="F212" s="11" t="e">
        <f t="shared" si="10"/>
        <v>#NUM!</v>
      </c>
      <c r="G212" s="19">
        <f>IF(G211&lt;0.1,0,$E$4-SUM($E$9:E212))</f>
        <v>0</v>
      </c>
      <c r="H212" s="495"/>
      <c r="I212" s="27"/>
    </row>
    <row r="213" spans="1:9" x14ac:dyDescent="0.15">
      <c r="A213" s="27"/>
      <c r="B213" s="490" t="s">
        <v>145</v>
      </c>
      <c r="C213" s="12">
        <v>205</v>
      </c>
      <c r="D213" s="21">
        <f t="shared" si="11"/>
        <v>0</v>
      </c>
      <c r="E213" s="11" t="e">
        <f t="shared" si="9"/>
        <v>#NUM!</v>
      </c>
      <c r="F213" s="11" t="e">
        <f t="shared" si="10"/>
        <v>#NUM!</v>
      </c>
      <c r="G213" s="19">
        <f>IF(G212&lt;0.1,0,$E$4-SUM($E$9:E213))</f>
        <v>0</v>
      </c>
      <c r="H213" s="496">
        <f>+G224</f>
        <v>0</v>
      </c>
      <c r="I213" s="27"/>
    </row>
    <row r="214" spans="1:9" x14ac:dyDescent="0.15">
      <c r="A214" s="27"/>
      <c r="B214" s="490"/>
      <c r="C214" s="12">
        <v>206</v>
      </c>
      <c r="D214" s="21">
        <f t="shared" si="11"/>
        <v>0</v>
      </c>
      <c r="E214" s="11" t="e">
        <f t="shared" si="9"/>
        <v>#NUM!</v>
      </c>
      <c r="F214" s="11" t="e">
        <f t="shared" si="10"/>
        <v>#NUM!</v>
      </c>
      <c r="G214" s="19">
        <f>IF(G213&lt;0.1,0,$E$4-SUM($E$9:E214))</f>
        <v>0</v>
      </c>
      <c r="H214" s="494"/>
      <c r="I214" s="27"/>
    </row>
    <row r="215" spans="1:9" x14ac:dyDescent="0.15">
      <c r="A215" s="27"/>
      <c r="B215" s="490"/>
      <c r="C215" s="12">
        <v>207</v>
      </c>
      <c r="D215" s="21">
        <f t="shared" si="11"/>
        <v>0</v>
      </c>
      <c r="E215" s="11" t="e">
        <f t="shared" si="9"/>
        <v>#NUM!</v>
      </c>
      <c r="F215" s="11" t="e">
        <f t="shared" si="10"/>
        <v>#NUM!</v>
      </c>
      <c r="G215" s="19">
        <f>IF(G214&lt;0.1,0,$E$4-SUM($E$9:E215))</f>
        <v>0</v>
      </c>
      <c r="H215" s="494"/>
      <c r="I215" s="27"/>
    </row>
    <row r="216" spans="1:9" x14ac:dyDescent="0.15">
      <c r="A216" s="27"/>
      <c r="B216" s="490"/>
      <c r="C216" s="12">
        <v>208</v>
      </c>
      <c r="D216" s="21">
        <f t="shared" si="11"/>
        <v>0</v>
      </c>
      <c r="E216" s="11" t="e">
        <f t="shared" si="9"/>
        <v>#NUM!</v>
      </c>
      <c r="F216" s="11" t="e">
        <f t="shared" si="10"/>
        <v>#NUM!</v>
      </c>
      <c r="G216" s="19">
        <f>IF(G215&lt;0.1,0,$E$4-SUM($E$9:E216))</f>
        <v>0</v>
      </c>
      <c r="H216" s="494"/>
      <c r="I216" s="27"/>
    </row>
    <row r="217" spans="1:9" x14ac:dyDescent="0.15">
      <c r="A217" s="27"/>
      <c r="B217" s="490"/>
      <c r="C217" s="12">
        <v>209</v>
      </c>
      <c r="D217" s="21">
        <f t="shared" si="11"/>
        <v>0</v>
      </c>
      <c r="E217" s="11" t="e">
        <f t="shared" si="9"/>
        <v>#NUM!</v>
      </c>
      <c r="F217" s="11" t="e">
        <f t="shared" si="10"/>
        <v>#NUM!</v>
      </c>
      <c r="G217" s="19">
        <f>IF(G216&lt;0.1,0,$E$4-SUM($E$9:E217))</f>
        <v>0</v>
      </c>
      <c r="H217" s="494"/>
      <c r="I217" s="27"/>
    </row>
    <row r="218" spans="1:9" x14ac:dyDescent="0.15">
      <c r="A218" s="27"/>
      <c r="B218" s="490"/>
      <c r="C218" s="12">
        <v>210</v>
      </c>
      <c r="D218" s="21">
        <f t="shared" si="11"/>
        <v>0</v>
      </c>
      <c r="E218" s="11" t="e">
        <f t="shared" si="9"/>
        <v>#NUM!</v>
      </c>
      <c r="F218" s="11" t="e">
        <f t="shared" si="10"/>
        <v>#NUM!</v>
      </c>
      <c r="G218" s="19">
        <f>IF(G217&lt;0.1,0,$E$4-SUM($E$9:E218))</f>
        <v>0</v>
      </c>
      <c r="H218" s="494"/>
      <c r="I218" s="27"/>
    </row>
    <row r="219" spans="1:9" x14ac:dyDescent="0.15">
      <c r="A219" s="27"/>
      <c r="B219" s="490"/>
      <c r="C219" s="12">
        <v>211</v>
      </c>
      <c r="D219" s="21">
        <f t="shared" si="11"/>
        <v>0</v>
      </c>
      <c r="E219" s="11" t="e">
        <f t="shared" si="9"/>
        <v>#NUM!</v>
      </c>
      <c r="F219" s="11" t="e">
        <f t="shared" si="10"/>
        <v>#NUM!</v>
      </c>
      <c r="G219" s="19">
        <f>IF(G218&lt;0.1,0,$E$4-SUM($E$9:E219))</f>
        <v>0</v>
      </c>
      <c r="H219" s="494"/>
      <c r="I219" s="27"/>
    </row>
    <row r="220" spans="1:9" x14ac:dyDescent="0.15">
      <c r="A220" s="27"/>
      <c r="B220" s="490"/>
      <c r="C220" s="12">
        <v>212</v>
      </c>
      <c r="D220" s="21">
        <f t="shared" si="11"/>
        <v>0</v>
      </c>
      <c r="E220" s="11" t="e">
        <f t="shared" si="9"/>
        <v>#NUM!</v>
      </c>
      <c r="F220" s="11" t="e">
        <f t="shared" si="10"/>
        <v>#NUM!</v>
      </c>
      <c r="G220" s="19">
        <f>IF(G219&lt;0.1,0,$E$4-SUM($E$9:E220))</f>
        <v>0</v>
      </c>
      <c r="H220" s="494"/>
      <c r="I220" s="27"/>
    </row>
    <row r="221" spans="1:9" x14ac:dyDescent="0.15">
      <c r="A221" s="27"/>
      <c r="B221" s="490"/>
      <c r="C221" s="12">
        <v>213</v>
      </c>
      <c r="D221" s="21">
        <f t="shared" si="11"/>
        <v>0</v>
      </c>
      <c r="E221" s="11" t="e">
        <f t="shared" si="9"/>
        <v>#NUM!</v>
      </c>
      <c r="F221" s="11" t="e">
        <f t="shared" si="10"/>
        <v>#NUM!</v>
      </c>
      <c r="G221" s="19">
        <f>IF(G220&lt;0.1,0,$E$4-SUM($E$9:E221))</f>
        <v>0</v>
      </c>
      <c r="H221" s="494"/>
      <c r="I221" s="27"/>
    </row>
    <row r="222" spans="1:9" x14ac:dyDescent="0.15">
      <c r="A222" s="27"/>
      <c r="B222" s="490"/>
      <c r="C222" s="12">
        <v>214</v>
      </c>
      <c r="D222" s="21">
        <f t="shared" si="11"/>
        <v>0</v>
      </c>
      <c r="E222" s="11" t="e">
        <f t="shared" si="9"/>
        <v>#NUM!</v>
      </c>
      <c r="F222" s="11" t="e">
        <f t="shared" si="10"/>
        <v>#NUM!</v>
      </c>
      <c r="G222" s="19">
        <f>IF(G221&lt;0.1,0,$E$4-SUM($E$9:E222))</f>
        <v>0</v>
      </c>
      <c r="H222" s="494"/>
      <c r="I222" s="27"/>
    </row>
    <row r="223" spans="1:9" x14ac:dyDescent="0.15">
      <c r="A223" s="27"/>
      <c r="B223" s="490"/>
      <c r="C223" s="12">
        <v>215</v>
      </c>
      <c r="D223" s="21">
        <f t="shared" si="11"/>
        <v>0</v>
      </c>
      <c r="E223" s="11" t="e">
        <f t="shared" si="9"/>
        <v>#NUM!</v>
      </c>
      <c r="F223" s="11" t="e">
        <f t="shared" si="10"/>
        <v>#NUM!</v>
      </c>
      <c r="G223" s="19">
        <f>IF(G222&lt;0.1,0,$E$4-SUM($E$9:E223))</f>
        <v>0</v>
      </c>
      <c r="H223" s="494"/>
      <c r="I223" s="27"/>
    </row>
    <row r="224" spans="1:9" ht="14.25" thickBot="1" x14ac:dyDescent="0.2">
      <c r="A224" s="27"/>
      <c r="B224" s="490"/>
      <c r="C224" s="12">
        <v>216</v>
      </c>
      <c r="D224" s="21">
        <f t="shared" si="11"/>
        <v>0</v>
      </c>
      <c r="E224" s="11" t="e">
        <f t="shared" si="9"/>
        <v>#NUM!</v>
      </c>
      <c r="F224" s="11" t="e">
        <f t="shared" si="10"/>
        <v>#NUM!</v>
      </c>
      <c r="G224" s="19">
        <f>IF(G223&lt;0.1,0,$E$4-SUM($E$9:E224))</f>
        <v>0</v>
      </c>
      <c r="H224" s="495"/>
      <c r="I224" s="27"/>
    </row>
    <row r="225" spans="1:9" x14ac:dyDescent="0.15">
      <c r="A225" s="27"/>
      <c r="B225" s="490" t="s">
        <v>146</v>
      </c>
      <c r="C225" s="12">
        <v>217</v>
      </c>
      <c r="D225" s="21">
        <f t="shared" si="11"/>
        <v>0</v>
      </c>
      <c r="E225" s="11" t="e">
        <f t="shared" si="9"/>
        <v>#NUM!</v>
      </c>
      <c r="F225" s="11" t="e">
        <f t="shared" si="10"/>
        <v>#NUM!</v>
      </c>
      <c r="G225" s="19">
        <f>IF(G224&lt;0.1,0,$E$4-SUM($E$9:E225))</f>
        <v>0</v>
      </c>
      <c r="H225" s="496">
        <f>+G236</f>
        <v>0</v>
      </c>
      <c r="I225" s="27"/>
    </row>
    <row r="226" spans="1:9" x14ac:dyDescent="0.15">
      <c r="A226" s="27"/>
      <c r="B226" s="490"/>
      <c r="C226" s="12">
        <v>218</v>
      </c>
      <c r="D226" s="21">
        <f t="shared" si="11"/>
        <v>0</v>
      </c>
      <c r="E226" s="11" t="e">
        <f t="shared" si="9"/>
        <v>#NUM!</v>
      </c>
      <c r="F226" s="11" t="e">
        <f t="shared" si="10"/>
        <v>#NUM!</v>
      </c>
      <c r="G226" s="19">
        <f>IF(G225&lt;0.1,0,$E$4-SUM($E$9:E226))</f>
        <v>0</v>
      </c>
      <c r="H226" s="494"/>
      <c r="I226" s="27"/>
    </row>
    <row r="227" spans="1:9" x14ac:dyDescent="0.15">
      <c r="A227" s="27"/>
      <c r="B227" s="490"/>
      <c r="C227" s="12">
        <v>219</v>
      </c>
      <c r="D227" s="21">
        <f t="shared" si="11"/>
        <v>0</v>
      </c>
      <c r="E227" s="11" t="e">
        <f t="shared" si="9"/>
        <v>#NUM!</v>
      </c>
      <c r="F227" s="11" t="e">
        <f t="shared" si="10"/>
        <v>#NUM!</v>
      </c>
      <c r="G227" s="19">
        <f>IF(G226&lt;0.1,0,$E$4-SUM($E$9:E227))</f>
        <v>0</v>
      </c>
      <c r="H227" s="494"/>
      <c r="I227" s="27"/>
    </row>
    <row r="228" spans="1:9" x14ac:dyDescent="0.15">
      <c r="A228" s="27"/>
      <c r="B228" s="490"/>
      <c r="C228" s="12">
        <v>220</v>
      </c>
      <c r="D228" s="21">
        <f t="shared" si="11"/>
        <v>0</v>
      </c>
      <c r="E228" s="11" t="e">
        <f t="shared" si="9"/>
        <v>#NUM!</v>
      </c>
      <c r="F228" s="11" t="e">
        <f t="shared" si="10"/>
        <v>#NUM!</v>
      </c>
      <c r="G228" s="19">
        <f>IF(G227&lt;0.1,0,$E$4-SUM($E$9:E228))</f>
        <v>0</v>
      </c>
      <c r="H228" s="494"/>
      <c r="I228" s="27"/>
    </row>
    <row r="229" spans="1:9" x14ac:dyDescent="0.15">
      <c r="A229" s="27"/>
      <c r="B229" s="490"/>
      <c r="C229" s="12">
        <v>221</v>
      </c>
      <c r="D229" s="21">
        <f t="shared" si="11"/>
        <v>0</v>
      </c>
      <c r="E229" s="11" t="e">
        <f t="shared" si="9"/>
        <v>#NUM!</v>
      </c>
      <c r="F229" s="11" t="e">
        <f t="shared" si="10"/>
        <v>#NUM!</v>
      </c>
      <c r="G229" s="19">
        <f>IF(G228&lt;0.1,0,$E$4-SUM($E$9:E229))</f>
        <v>0</v>
      </c>
      <c r="H229" s="494"/>
      <c r="I229" s="27"/>
    </row>
    <row r="230" spans="1:9" x14ac:dyDescent="0.15">
      <c r="A230" s="27"/>
      <c r="B230" s="490"/>
      <c r="C230" s="12">
        <v>222</v>
      </c>
      <c r="D230" s="21">
        <f t="shared" si="11"/>
        <v>0</v>
      </c>
      <c r="E230" s="11" t="e">
        <f t="shared" si="9"/>
        <v>#NUM!</v>
      </c>
      <c r="F230" s="11" t="e">
        <f t="shared" si="10"/>
        <v>#NUM!</v>
      </c>
      <c r="G230" s="19">
        <f>IF(G229&lt;0.1,0,$E$4-SUM($E$9:E230))</f>
        <v>0</v>
      </c>
      <c r="H230" s="494"/>
      <c r="I230" s="27"/>
    </row>
    <row r="231" spans="1:9" x14ac:dyDescent="0.15">
      <c r="A231" s="27"/>
      <c r="B231" s="490"/>
      <c r="C231" s="12">
        <v>223</v>
      </c>
      <c r="D231" s="21">
        <f t="shared" si="11"/>
        <v>0</v>
      </c>
      <c r="E231" s="11" t="e">
        <f t="shared" si="9"/>
        <v>#NUM!</v>
      </c>
      <c r="F231" s="11" t="e">
        <f t="shared" si="10"/>
        <v>#NUM!</v>
      </c>
      <c r="G231" s="19">
        <f>IF(G230&lt;0.1,0,$E$4-SUM($E$9:E231))</f>
        <v>0</v>
      </c>
      <c r="H231" s="494"/>
      <c r="I231" s="27"/>
    </row>
    <row r="232" spans="1:9" x14ac:dyDescent="0.15">
      <c r="A232" s="27"/>
      <c r="B232" s="490"/>
      <c r="C232" s="12">
        <v>224</v>
      </c>
      <c r="D232" s="21">
        <f t="shared" si="11"/>
        <v>0</v>
      </c>
      <c r="E232" s="11" t="e">
        <f t="shared" si="9"/>
        <v>#NUM!</v>
      </c>
      <c r="F232" s="11" t="e">
        <f t="shared" si="10"/>
        <v>#NUM!</v>
      </c>
      <c r="G232" s="19">
        <f>IF(G231&lt;0.1,0,$E$4-SUM($E$9:E232))</f>
        <v>0</v>
      </c>
      <c r="H232" s="494"/>
      <c r="I232" s="27"/>
    </row>
    <row r="233" spans="1:9" x14ac:dyDescent="0.15">
      <c r="A233" s="27"/>
      <c r="B233" s="490"/>
      <c r="C233" s="12">
        <v>225</v>
      </c>
      <c r="D233" s="21">
        <f t="shared" si="11"/>
        <v>0</v>
      </c>
      <c r="E233" s="11" t="e">
        <f t="shared" si="9"/>
        <v>#NUM!</v>
      </c>
      <c r="F233" s="11" t="e">
        <f t="shared" si="10"/>
        <v>#NUM!</v>
      </c>
      <c r="G233" s="19">
        <f>IF(G232&lt;0.1,0,$E$4-SUM($E$9:E233))</f>
        <v>0</v>
      </c>
      <c r="H233" s="494"/>
      <c r="I233" s="27"/>
    </row>
    <row r="234" spans="1:9" x14ac:dyDescent="0.15">
      <c r="A234" s="27"/>
      <c r="B234" s="490"/>
      <c r="C234" s="12">
        <v>226</v>
      </c>
      <c r="D234" s="21">
        <f t="shared" si="11"/>
        <v>0</v>
      </c>
      <c r="E234" s="11" t="e">
        <f t="shared" si="9"/>
        <v>#NUM!</v>
      </c>
      <c r="F234" s="11" t="e">
        <f t="shared" si="10"/>
        <v>#NUM!</v>
      </c>
      <c r="G234" s="19">
        <f>IF(G233&lt;0.1,0,$E$4-SUM($E$9:E234))</f>
        <v>0</v>
      </c>
      <c r="H234" s="494"/>
      <c r="I234" s="27"/>
    </row>
    <row r="235" spans="1:9" x14ac:dyDescent="0.15">
      <c r="A235" s="27"/>
      <c r="B235" s="490"/>
      <c r="C235" s="12">
        <v>227</v>
      </c>
      <c r="D235" s="21">
        <f t="shared" si="11"/>
        <v>0</v>
      </c>
      <c r="E235" s="11" t="e">
        <f t="shared" si="9"/>
        <v>#NUM!</v>
      </c>
      <c r="F235" s="11" t="e">
        <f t="shared" si="10"/>
        <v>#NUM!</v>
      </c>
      <c r="G235" s="19">
        <f>IF(G234&lt;0.1,0,$E$4-SUM($E$9:E235))</f>
        <v>0</v>
      </c>
      <c r="H235" s="494"/>
      <c r="I235" s="27"/>
    </row>
    <row r="236" spans="1:9" ht="14.25" thickBot="1" x14ac:dyDescent="0.2">
      <c r="A236" s="27"/>
      <c r="B236" s="490"/>
      <c r="C236" s="12">
        <v>228</v>
      </c>
      <c r="D236" s="21">
        <f t="shared" si="11"/>
        <v>0</v>
      </c>
      <c r="E236" s="11" t="e">
        <f t="shared" si="9"/>
        <v>#NUM!</v>
      </c>
      <c r="F236" s="11" t="e">
        <f t="shared" si="10"/>
        <v>#NUM!</v>
      </c>
      <c r="G236" s="19">
        <f>IF(G235&lt;0.1,0,$E$4-SUM($E$9:E236))</f>
        <v>0</v>
      </c>
      <c r="H236" s="495"/>
      <c r="I236" s="27"/>
    </row>
    <row r="237" spans="1:9" x14ac:dyDescent="0.15">
      <c r="A237" s="27"/>
      <c r="B237" s="490" t="s">
        <v>147</v>
      </c>
      <c r="C237" s="12">
        <v>229</v>
      </c>
      <c r="D237" s="21">
        <f t="shared" si="11"/>
        <v>0</v>
      </c>
      <c r="E237" s="11" t="e">
        <f t="shared" si="9"/>
        <v>#NUM!</v>
      </c>
      <c r="F237" s="11" t="e">
        <f t="shared" si="10"/>
        <v>#NUM!</v>
      </c>
      <c r="G237" s="19">
        <f>IF(G236&lt;0.1,0,$E$4-SUM($E$9:E237))</f>
        <v>0</v>
      </c>
      <c r="H237" s="496">
        <f>+G248</f>
        <v>0</v>
      </c>
      <c r="I237" s="27"/>
    </row>
    <row r="238" spans="1:9" x14ac:dyDescent="0.15">
      <c r="A238" s="27"/>
      <c r="B238" s="490"/>
      <c r="C238" s="12">
        <v>230</v>
      </c>
      <c r="D238" s="21">
        <f t="shared" si="11"/>
        <v>0</v>
      </c>
      <c r="E238" s="11" t="e">
        <f t="shared" si="9"/>
        <v>#NUM!</v>
      </c>
      <c r="F238" s="11" t="e">
        <f t="shared" si="10"/>
        <v>#NUM!</v>
      </c>
      <c r="G238" s="19">
        <f>IF(G237&lt;0.1,0,$E$4-SUM($E$9:E238))</f>
        <v>0</v>
      </c>
      <c r="H238" s="494"/>
      <c r="I238" s="27"/>
    </row>
    <row r="239" spans="1:9" x14ac:dyDescent="0.15">
      <c r="A239" s="27"/>
      <c r="B239" s="490"/>
      <c r="C239" s="12">
        <v>231</v>
      </c>
      <c r="D239" s="21">
        <f t="shared" si="11"/>
        <v>0</v>
      </c>
      <c r="E239" s="11" t="e">
        <f t="shared" si="9"/>
        <v>#NUM!</v>
      </c>
      <c r="F239" s="11" t="e">
        <f t="shared" si="10"/>
        <v>#NUM!</v>
      </c>
      <c r="G239" s="19">
        <f>IF(G238&lt;0.1,0,$E$4-SUM($E$9:E239))</f>
        <v>0</v>
      </c>
      <c r="H239" s="494"/>
      <c r="I239" s="27"/>
    </row>
    <row r="240" spans="1:9" x14ac:dyDescent="0.15">
      <c r="A240" s="27"/>
      <c r="B240" s="490"/>
      <c r="C240" s="12">
        <v>232</v>
      </c>
      <c r="D240" s="21">
        <f t="shared" si="11"/>
        <v>0</v>
      </c>
      <c r="E240" s="11" t="e">
        <f t="shared" si="9"/>
        <v>#NUM!</v>
      </c>
      <c r="F240" s="11" t="e">
        <f t="shared" si="10"/>
        <v>#NUM!</v>
      </c>
      <c r="G240" s="19">
        <f>IF(G239&lt;0.1,0,$E$4-SUM($E$9:E240))</f>
        <v>0</v>
      </c>
      <c r="H240" s="494"/>
      <c r="I240" s="27"/>
    </row>
    <row r="241" spans="1:9" x14ac:dyDescent="0.15">
      <c r="A241" s="27"/>
      <c r="B241" s="490"/>
      <c r="C241" s="12">
        <v>233</v>
      </c>
      <c r="D241" s="21">
        <f t="shared" si="11"/>
        <v>0</v>
      </c>
      <c r="E241" s="11" t="e">
        <f t="shared" si="9"/>
        <v>#NUM!</v>
      </c>
      <c r="F241" s="11" t="e">
        <f t="shared" si="10"/>
        <v>#NUM!</v>
      </c>
      <c r="G241" s="19">
        <f>IF(G240&lt;0.1,0,$E$4-SUM($E$9:E241))</f>
        <v>0</v>
      </c>
      <c r="H241" s="494"/>
      <c r="I241" s="27"/>
    </row>
    <row r="242" spans="1:9" x14ac:dyDescent="0.15">
      <c r="A242" s="27"/>
      <c r="B242" s="490"/>
      <c r="C242" s="12">
        <v>234</v>
      </c>
      <c r="D242" s="21">
        <f t="shared" si="11"/>
        <v>0</v>
      </c>
      <c r="E242" s="11" t="e">
        <f t="shared" si="9"/>
        <v>#NUM!</v>
      </c>
      <c r="F242" s="11" t="e">
        <f t="shared" si="10"/>
        <v>#NUM!</v>
      </c>
      <c r="G242" s="19">
        <f>IF(G241&lt;0.1,0,$E$4-SUM($E$9:E242))</f>
        <v>0</v>
      </c>
      <c r="H242" s="494"/>
      <c r="I242" s="27"/>
    </row>
    <row r="243" spans="1:9" x14ac:dyDescent="0.15">
      <c r="A243" s="27"/>
      <c r="B243" s="490"/>
      <c r="C243" s="12">
        <v>235</v>
      </c>
      <c r="D243" s="21">
        <f t="shared" si="11"/>
        <v>0</v>
      </c>
      <c r="E243" s="11" t="e">
        <f t="shared" si="9"/>
        <v>#NUM!</v>
      </c>
      <c r="F243" s="11" t="e">
        <f t="shared" si="10"/>
        <v>#NUM!</v>
      </c>
      <c r="G243" s="19">
        <f>IF(G242&lt;0.1,0,$E$4-SUM($E$9:E243))</f>
        <v>0</v>
      </c>
      <c r="H243" s="494"/>
      <c r="I243" s="27"/>
    </row>
    <row r="244" spans="1:9" x14ac:dyDescent="0.15">
      <c r="A244" s="27"/>
      <c r="B244" s="490"/>
      <c r="C244" s="12">
        <v>236</v>
      </c>
      <c r="D244" s="21">
        <f t="shared" si="11"/>
        <v>0</v>
      </c>
      <c r="E244" s="11" t="e">
        <f t="shared" si="9"/>
        <v>#NUM!</v>
      </c>
      <c r="F244" s="11" t="e">
        <f t="shared" si="10"/>
        <v>#NUM!</v>
      </c>
      <c r="G244" s="19">
        <f>IF(G243&lt;0.1,0,$E$4-SUM($E$9:E244))</f>
        <v>0</v>
      </c>
      <c r="H244" s="494"/>
      <c r="I244" s="27"/>
    </row>
    <row r="245" spans="1:9" x14ac:dyDescent="0.15">
      <c r="A245" s="27"/>
      <c r="B245" s="490"/>
      <c r="C245" s="12">
        <v>237</v>
      </c>
      <c r="D245" s="21">
        <f t="shared" si="11"/>
        <v>0</v>
      </c>
      <c r="E245" s="11" t="e">
        <f t="shared" si="9"/>
        <v>#NUM!</v>
      </c>
      <c r="F245" s="11" t="e">
        <f t="shared" si="10"/>
        <v>#NUM!</v>
      </c>
      <c r="G245" s="19">
        <f>IF(G244&lt;0.1,0,$E$4-SUM($E$9:E245))</f>
        <v>0</v>
      </c>
      <c r="H245" s="494"/>
      <c r="I245" s="27"/>
    </row>
    <row r="246" spans="1:9" x14ac:dyDescent="0.15">
      <c r="A246" s="27"/>
      <c r="B246" s="490"/>
      <c r="C246" s="12">
        <v>238</v>
      </c>
      <c r="D246" s="21">
        <f t="shared" si="11"/>
        <v>0</v>
      </c>
      <c r="E246" s="11" t="e">
        <f t="shared" si="9"/>
        <v>#NUM!</v>
      </c>
      <c r="F246" s="11" t="e">
        <f t="shared" si="10"/>
        <v>#NUM!</v>
      </c>
      <c r="G246" s="19">
        <f>IF(G245&lt;0.1,0,$E$4-SUM($E$9:E246))</f>
        <v>0</v>
      </c>
      <c r="H246" s="494"/>
      <c r="I246" s="27"/>
    </row>
    <row r="247" spans="1:9" x14ac:dyDescent="0.15">
      <c r="A247" s="27"/>
      <c r="B247" s="490"/>
      <c r="C247" s="12">
        <v>239</v>
      </c>
      <c r="D247" s="21">
        <f t="shared" si="11"/>
        <v>0</v>
      </c>
      <c r="E247" s="11" t="e">
        <f t="shared" si="9"/>
        <v>#NUM!</v>
      </c>
      <c r="F247" s="11" t="e">
        <f t="shared" si="10"/>
        <v>#NUM!</v>
      </c>
      <c r="G247" s="19">
        <f>IF(G246&lt;0.1,0,$E$4-SUM($E$9:E247))</f>
        <v>0</v>
      </c>
      <c r="H247" s="494"/>
      <c r="I247" s="27"/>
    </row>
    <row r="248" spans="1:9" ht="14.25" thickBot="1" x14ac:dyDescent="0.2">
      <c r="A248" s="27"/>
      <c r="B248" s="490"/>
      <c r="C248" s="12">
        <v>240</v>
      </c>
      <c r="D248" s="21">
        <f t="shared" si="11"/>
        <v>0</v>
      </c>
      <c r="E248" s="11" t="e">
        <f t="shared" si="9"/>
        <v>#NUM!</v>
      </c>
      <c r="F248" s="11" t="e">
        <f t="shared" si="10"/>
        <v>#NUM!</v>
      </c>
      <c r="G248" s="19">
        <f>IF(G247&lt;0.1,0,$E$4-SUM($E$9:E248))</f>
        <v>0</v>
      </c>
      <c r="H248" s="495"/>
      <c r="I248" s="27"/>
    </row>
    <row r="249" spans="1:9" x14ac:dyDescent="0.15">
      <c r="A249" s="27"/>
      <c r="B249" s="490" t="s">
        <v>148</v>
      </c>
      <c r="C249" s="12">
        <v>241</v>
      </c>
      <c r="D249" s="21">
        <f t="shared" si="11"/>
        <v>0</v>
      </c>
      <c r="E249" s="11" t="e">
        <f t="shared" si="9"/>
        <v>#NUM!</v>
      </c>
      <c r="F249" s="11" t="e">
        <f t="shared" si="10"/>
        <v>#NUM!</v>
      </c>
      <c r="G249" s="19">
        <f>IF(G248&lt;0.1,0,$E$4-SUM($E$9:E249))</f>
        <v>0</v>
      </c>
      <c r="H249" s="496">
        <f>+G260</f>
        <v>0</v>
      </c>
      <c r="I249" s="27"/>
    </row>
    <row r="250" spans="1:9" x14ac:dyDescent="0.15">
      <c r="A250" s="27"/>
      <c r="B250" s="490"/>
      <c r="C250" s="12">
        <v>242</v>
      </c>
      <c r="D250" s="21">
        <f t="shared" si="11"/>
        <v>0</v>
      </c>
      <c r="E250" s="11" t="e">
        <f t="shared" si="9"/>
        <v>#NUM!</v>
      </c>
      <c r="F250" s="11" t="e">
        <f t="shared" si="10"/>
        <v>#NUM!</v>
      </c>
      <c r="G250" s="19">
        <f>IF(G249&lt;0.1,0,$E$4-SUM($E$9:E250))</f>
        <v>0</v>
      </c>
      <c r="H250" s="494"/>
      <c r="I250" s="27"/>
    </row>
    <row r="251" spans="1:9" x14ac:dyDescent="0.15">
      <c r="A251" s="27"/>
      <c r="B251" s="490"/>
      <c r="C251" s="12">
        <v>243</v>
      </c>
      <c r="D251" s="21">
        <f t="shared" si="11"/>
        <v>0</v>
      </c>
      <c r="E251" s="11" t="e">
        <f t="shared" si="9"/>
        <v>#NUM!</v>
      </c>
      <c r="F251" s="11" t="e">
        <f t="shared" si="10"/>
        <v>#NUM!</v>
      </c>
      <c r="G251" s="19">
        <f>IF(G250&lt;0.1,0,$E$4-SUM($E$9:E251))</f>
        <v>0</v>
      </c>
      <c r="H251" s="494"/>
      <c r="I251" s="27"/>
    </row>
    <row r="252" spans="1:9" x14ac:dyDescent="0.15">
      <c r="A252" s="27"/>
      <c r="B252" s="490"/>
      <c r="C252" s="12">
        <v>244</v>
      </c>
      <c r="D252" s="21">
        <f t="shared" si="11"/>
        <v>0</v>
      </c>
      <c r="E252" s="11" t="e">
        <f t="shared" si="9"/>
        <v>#NUM!</v>
      </c>
      <c r="F252" s="11" t="e">
        <f t="shared" si="10"/>
        <v>#NUM!</v>
      </c>
      <c r="G252" s="19">
        <f>IF(G251&lt;0.1,0,$E$4-SUM($E$9:E252))</f>
        <v>0</v>
      </c>
      <c r="H252" s="494"/>
      <c r="I252" s="27"/>
    </row>
    <row r="253" spans="1:9" x14ac:dyDescent="0.15">
      <c r="A253" s="27"/>
      <c r="B253" s="490"/>
      <c r="C253" s="12">
        <v>245</v>
      </c>
      <c r="D253" s="21">
        <f t="shared" si="11"/>
        <v>0</v>
      </c>
      <c r="E253" s="11" t="e">
        <f t="shared" si="9"/>
        <v>#NUM!</v>
      </c>
      <c r="F253" s="11" t="e">
        <f t="shared" si="10"/>
        <v>#NUM!</v>
      </c>
      <c r="G253" s="19">
        <f>IF(G252&lt;0.1,0,$E$4-SUM($E$9:E253))</f>
        <v>0</v>
      </c>
      <c r="H253" s="494"/>
      <c r="I253" s="27"/>
    </row>
    <row r="254" spans="1:9" x14ac:dyDescent="0.15">
      <c r="A254" s="27"/>
      <c r="B254" s="490"/>
      <c r="C254" s="12">
        <v>246</v>
      </c>
      <c r="D254" s="21">
        <f t="shared" si="11"/>
        <v>0</v>
      </c>
      <c r="E254" s="11" t="e">
        <f t="shared" si="9"/>
        <v>#NUM!</v>
      </c>
      <c r="F254" s="11" t="e">
        <f t="shared" si="10"/>
        <v>#NUM!</v>
      </c>
      <c r="G254" s="19">
        <f>IF(G253&lt;0.1,0,$E$4-SUM($E$9:E254))</f>
        <v>0</v>
      </c>
      <c r="H254" s="494"/>
      <c r="I254" s="27"/>
    </row>
    <row r="255" spans="1:9" x14ac:dyDescent="0.15">
      <c r="A255" s="27"/>
      <c r="B255" s="490"/>
      <c r="C255" s="12">
        <v>247</v>
      </c>
      <c r="D255" s="21">
        <f t="shared" si="11"/>
        <v>0</v>
      </c>
      <c r="E255" s="11" t="e">
        <f t="shared" si="9"/>
        <v>#NUM!</v>
      </c>
      <c r="F255" s="11" t="e">
        <f t="shared" si="10"/>
        <v>#NUM!</v>
      </c>
      <c r="G255" s="19">
        <f>IF(G254&lt;0.1,0,$E$4-SUM($E$9:E255))</f>
        <v>0</v>
      </c>
      <c r="H255" s="494"/>
      <c r="I255" s="27"/>
    </row>
    <row r="256" spans="1:9" x14ac:dyDescent="0.15">
      <c r="A256" s="27"/>
      <c r="B256" s="490"/>
      <c r="C256" s="12">
        <v>248</v>
      </c>
      <c r="D256" s="21">
        <f t="shared" si="11"/>
        <v>0</v>
      </c>
      <c r="E256" s="11" t="e">
        <f t="shared" si="9"/>
        <v>#NUM!</v>
      </c>
      <c r="F256" s="11" t="e">
        <f t="shared" si="10"/>
        <v>#NUM!</v>
      </c>
      <c r="G256" s="19">
        <f>IF(G255&lt;0.1,0,$E$4-SUM($E$9:E256))</f>
        <v>0</v>
      </c>
      <c r="H256" s="494"/>
      <c r="I256" s="27"/>
    </row>
    <row r="257" spans="1:9" x14ac:dyDescent="0.15">
      <c r="A257" s="27"/>
      <c r="B257" s="490"/>
      <c r="C257" s="12">
        <v>249</v>
      </c>
      <c r="D257" s="21">
        <f t="shared" si="11"/>
        <v>0</v>
      </c>
      <c r="E257" s="11" t="e">
        <f t="shared" si="9"/>
        <v>#NUM!</v>
      </c>
      <c r="F257" s="11" t="e">
        <f t="shared" si="10"/>
        <v>#NUM!</v>
      </c>
      <c r="G257" s="19">
        <f>IF(G256&lt;0.1,0,$E$4-SUM($E$9:E257))</f>
        <v>0</v>
      </c>
      <c r="H257" s="494"/>
      <c r="I257" s="27"/>
    </row>
    <row r="258" spans="1:9" x14ac:dyDescent="0.15">
      <c r="A258" s="27"/>
      <c r="B258" s="490"/>
      <c r="C258" s="12">
        <v>250</v>
      </c>
      <c r="D258" s="21">
        <f t="shared" si="11"/>
        <v>0</v>
      </c>
      <c r="E258" s="11" t="e">
        <f t="shared" si="9"/>
        <v>#NUM!</v>
      </c>
      <c r="F258" s="11" t="e">
        <f t="shared" si="10"/>
        <v>#NUM!</v>
      </c>
      <c r="G258" s="19">
        <f>IF(G257&lt;0.1,0,$E$4-SUM($E$9:E258))</f>
        <v>0</v>
      </c>
      <c r="H258" s="494"/>
      <c r="I258" s="27"/>
    </row>
    <row r="259" spans="1:9" x14ac:dyDescent="0.15">
      <c r="A259" s="27"/>
      <c r="B259" s="490"/>
      <c r="C259" s="12">
        <v>251</v>
      </c>
      <c r="D259" s="21">
        <f t="shared" si="11"/>
        <v>0</v>
      </c>
      <c r="E259" s="11" t="e">
        <f t="shared" si="9"/>
        <v>#NUM!</v>
      </c>
      <c r="F259" s="11" t="e">
        <f t="shared" si="10"/>
        <v>#NUM!</v>
      </c>
      <c r="G259" s="19">
        <f>IF(G258&lt;0.1,0,$E$4-SUM($E$9:E259))</f>
        <v>0</v>
      </c>
      <c r="H259" s="494"/>
      <c r="I259" s="27"/>
    </row>
    <row r="260" spans="1:9" ht="14.25" thickBot="1" x14ac:dyDescent="0.2">
      <c r="A260" s="27"/>
      <c r="B260" s="490"/>
      <c r="C260" s="12">
        <v>252</v>
      </c>
      <c r="D260" s="21">
        <f t="shared" si="11"/>
        <v>0</v>
      </c>
      <c r="E260" s="11" t="e">
        <f t="shared" si="9"/>
        <v>#NUM!</v>
      </c>
      <c r="F260" s="11" t="e">
        <f t="shared" si="10"/>
        <v>#NUM!</v>
      </c>
      <c r="G260" s="19">
        <f>IF(G259&lt;0.1,0,$E$4-SUM($E$9:E260))</f>
        <v>0</v>
      </c>
      <c r="H260" s="495"/>
      <c r="I260" s="27"/>
    </row>
    <row r="261" spans="1:9" x14ac:dyDescent="0.15">
      <c r="A261" s="27"/>
      <c r="B261" s="490" t="s">
        <v>149</v>
      </c>
      <c r="C261" s="12">
        <v>253</v>
      </c>
      <c r="D261" s="21">
        <f t="shared" si="11"/>
        <v>0</v>
      </c>
      <c r="E261" s="11" t="e">
        <f t="shared" si="9"/>
        <v>#NUM!</v>
      </c>
      <c r="F261" s="11" t="e">
        <f t="shared" si="10"/>
        <v>#NUM!</v>
      </c>
      <c r="G261" s="19">
        <f>IF(G260&lt;0.1,0,$E$4-SUM($E$9:E261))</f>
        <v>0</v>
      </c>
      <c r="H261" s="496">
        <f>+G272</f>
        <v>0</v>
      </c>
      <c r="I261" s="27"/>
    </row>
    <row r="262" spans="1:9" x14ac:dyDescent="0.15">
      <c r="A262" s="27"/>
      <c r="B262" s="490"/>
      <c r="C262" s="12">
        <v>254</v>
      </c>
      <c r="D262" s="21">
        <f t="shared" si="11"/>
        <v>0</v>
      </c>
      <c r="E262" s="11" t="e">
        <f t="shared" si="9"/>
        <v>#NUM!</v>
      </c>
      <c r="F262" s="11" t="e">
        <f t="shared" si="10"/>
        <v>#NUM!</v>
      </c>
      <c r="G262" s="19">
        <f>IF(G261&lt;0.1,0,$E$4-SUM($E$9:E262))</f>
        <v>0</v>
      </c>
      <c r="H262" s="494"/>
      <c r="I262" s="27"/>
    </row>
    <row r="263" spans="1:9" x14ac:dyDescent="0.15">
      <c r="A263" s="27"/>
      <c r="B263" s="490"/>
      <c r="C263" s="12">
        <v>255</v>
      </c>
      <c r="D263" s="21">
        <f t="shared" si="11"/>
        <v>0</v>
      </c>
      <c r="E263" s="11" t="e">
        <f t="shared" si="9"/>
        <v>#NUM!</v>
      </c>
      <c r="F263" s="11" t="e">
        <f t="shared" si="10"/>
        <v>#NUM!</v>
      </c>
      <c r="G263" s="19">
        <f>IF(G262&lt;0.1,0,$E$4-SUM($E$9:E263))</f>
        <v>0</v>
      </c>
      <c r="H263" s="494"/>
      <c r="I263" s="27"/>
    </row>
    <row r="264" spans="1:9" x14ac:dyDescent="0.15">
      <c r="A264" s="27"/>
      <c r="B264" s="490"/>
      <c r="C264" s="12">
        <v>256</v>
      </c>
      <c r="D264" s="21">
        <f t="shared" si="11"/>
        <v>0</v>
      </c>
      <c r="E264" s="11" t="e">
        <f t="shared" si="9"/>
        <v>#NUM!</v>
      </c>
      <c r="F264" s="11" t="e">
        <f t="shared" si="10"/>
        <v>#NUM!</v>
      </c>
      <c r="G264" s="19">
        <f>IF(G263&lt;0.1,0,$E$4-SUM($E$9:E264))</f>
        <v>0</v>
      </c>
      <c r="H264" s="494"/>
      <c r="I264" s="27"/>
    </row>
    <row r="265" spans="1:9" x14ac:dyDescent="0.15">
      <c r="A265" s="27"/>
      <c r="B265" s="490"/>
      <c r="C265" s="12">
        <v>257</v>
      </c>
      <c r="D265" s="21">
        <f t="shared" si="11"/>
        <v>0</v>
      </c>
      <c r="E265" s="11" t="e">
        <f t="shared" si="9"/>
        <v>#NUM!</v>
      </c>
      <c r="F265" s="11" t="e">
        <f t="shared" si="10"/>
        <v>#NUM!</v>
      </c>
      <c r="G265" s="19">
        <f>IF(G264&lt;0.1,0,$E$4-SUM($E$9:E265))</f>
        <v>0</v>
      </c>
      <c r="H265" s="494"/>
      <c r="I265" s="27"/>
    </row>
    <row r="266" spans="1:9" x14ac:dyDescent="0.15">
      <c r="A266" s="27"/>
      <c r="B266" s="490"/>
      <c r="C266" s="12">
        <v>258</v>
      </c>
      <c r="D266" s="21">
        <f t="shared" si="11"/>
        <v>0</v>
      </c>
      <c r="E266" s="11" t="e">
        <f t="shared" ref="E266:E308" si="12">-PPMT($G$4/12,$C266,$H$4,$E$4)</f>
        <v>#NUM!</v>
      </c>
      <c r="F266" s="11" t="e">
        <f t="shared" ref="F266:F308" si="13">-IPMT($G$4/12,$C266,$H$4,$E$4)</f>
        <v>#NUM!</v>
      </c>
      <c r="G266" s="19">
        <f>IF(G265&lt;0.1,0,$E$4-SUM($E$9:E266))</f>
        <v>0</v>
      </c>
      <c r="H266" s="494"/>
      <c r="I266" s="27"/>
    </row>
    <row r="267" spans="1:9" x14ac:dyDescent="0.15">
      <c r="A267" s="27"/>
      <c r="B267" s="490"/>
      <c r="C267" s="12">
        <v>259</v>
      </c>
      <c r="D267" s="21">
        <f t="shared" ref="D267:D308" si="14">IF(G266&lt;0.1,0,$E$7)</f>
        <v>0</v>
      </c>
      <c r="E267" s="11" t="e">
        <f t="shared" si="12"/>
        <v>#NUM!</v>
      </c>
      <c r="F267" s="11" t="e">
        <f t="shared" si="13"/>
        <v>#NUM!</v>
      </c>
      <c r="G267" s="19">
        <f>IF(G266&lt;0.1,0,$E$4-SUM($E$9:E267))</f>
        <v>0</v>
      </c>
      <c r="H267" s="494"/>
      <c r="I267" s="27"/>
    </row>
    <row r="268" spans="1:9" x14ac:dyDescent="0.15">
      <c r="A268" s="27"/>
      <c r="B268" s="490"/>
      <c r="C268" s="12">
        <v>260</v>
      </c>
      <c r="D268" s="21">
        <f t="shared" si="14"/>
        <v>0</v>
      </c>
      <c r="E268" s="11" t="e">
        <f t="shared" si="12"/>
        <v>#NUM!</v>
      </c>
      <c r="F268" s="11" t="e">
        <f t="shared" si="13"/>
        <v>#NUM!</v>
      </c>
      <c r="G268" s="19">
        <f>IF(G267&lt;0.1,0,$E$4-SUM($E$9:E268))</f>
        <v>0</v>
      </c>
      <c r="H268" s="494"/>
      <c r="I268" s="27"/>
    </row>
    <row r="269" spans="1:9" x14ac:dyDescent="0.15">
      <c r="A269" s="27"/>
      <c r="B269" s="490"/>
      <c r="C269" s="12">
        <v>261</v>
      </c>
      <c r="D269" s="21">
        <f t="shared" si="14"/>
        <v>0</v>
      </c>
      <c r="E269" s="11" t="e">
        <f t="shared" si="12"/>
        <v>#NUM!</v>
      </c>
      <c r="F269" s="11" t="e">
        <f t="shared" si="13"/>
        <v>#NUM!</v>
      </c>
      <c r="G269" s="19">
        <f>IF(G268&lt;0.1,0,$E$4-SUM($E$9:E269))</f>
        <v>0</v>
      </c>
      <c r="H269" s="494"/>
      <c r="I269" s="27"/>
    </row>
    <row r="270" spans="1:9" x14ac:dyDescent="0.15">
      <c r="A270" s="27"/>
      <c r="B270" s="490"/>
      <c r="C270" s="12">
        <v>262</v>
      </c>
      <c r="D270" s="21">
        <f t="shared" si="14"/>
        <v>0</v>
      </c>
      <c r="E270" s="11" t="e">
        <f t="shared" si="12"/>
        <v>#NUM!</v>
      </c>
      <c r="F270" s="11" t="e">
        <f t="shared" si="13"/>
        <v>#NUM!</v>
      </c>
      <c r="G270" s="19">
        <f>IF(G269&lt;0.1,0,$E$4-SUM($E$9:E270))</f>
        <v>0</v>
      </c>
      <c r="H270" s="494"/>
      <c r="I270" s="27"/>
    </row>
    <row r="271" spans="1:9" x14ac:dyDescent="0.15">
      <c r="A271" s="27"/>
      <c r="B271" s="490"/>
      <c r="C271" s="12">
        <v>263</v>
      </c>
      <c r="D271" s="21">
        <f t="shared" si="14"/>
        <v>0</v>
      </c>
      <c r="E271" s="11" t="e">
        <f t="shared" si="12"/>
        <v>#NUM!</v>
      </c>
      <c r="F271" s="11" t="e">
        <f t="shared" si="13"/>
        <v>#NUM!</v>
      </c>
      <c r="G271" s="19">
        <f>IF(G270&lt;0.1,0,$E$4-SUM($E$9:E271))</f>
        <v>0</v>
      </c>
      <c r="H271" s="494"/>
      <c r="I271" s="27"/>
    </row>
    <row r="272" spans="1:9" ht="14.25" thickBot="1" x14ac:dyDescent="0.2">
      <c r="A272" s="27"/>
      <c r="B272" s="490"/>
      <c r="C272" s="12">
        <v>264</v>
      </c>
      <c r="D272" s="21">
        <f t="shared" si="14"/>
        <v>0</v>
      </c>
      <c r="E272" s="11" t="e">
        <f t="shared" si="12"/>
        <v>#NUM!</v>
      </c>
      <c r="F272" s="11" t="e">
        <f t="shared" si="13"/>
        <v>#NUM!</v>
      </c>
      <c r="G272" s="19">
        <f>IF(G271&lt;0.1,0,$E$4-SUM($E$9:E272))</f>
        <v>0</v>
      </c>
      <c r="H272" s="495"/>
      <c r="I272" s="27"/>
    </row>
    <row r="273" spans="1:9" x14ac:dyDescent="0.15">
      <c r="A273" s="27"/>
      <c r="B273" s="490" t="s">
        <v>150</v>
      </c>
      <c r="C273" s="12">
        <v>265</v>
      </c>
      <c r="D273" s="21">
        <f t="shared" si="14"/>
        <v>0</v>
      </c>
      <c r="E273" s="11" t="e">
        <f t="shared" si="12"/>
        <v>#NUM!</v>
      </c>
      <c r="F273" s="11" t="e">
        <f t="shared" si="13"/>
        <v>#NUM!</v>
      </c>
      <c r="G273" s="19">
        <f>IF(G272&lt;0.1,0,$E$4-SUM($E$9:E273))</f>
        <v>0</v>
      </c>
      <c r="H273" s="496">
        <f>+G284</f>
        <v>0</v>
      </c>
      <c r="I273" s="27"/>
    </row>
    <row r="274" spans="1:9" x14ac:dyDescent="0.15">
      <c r="A274" s="27"/>
      <c r="B274" s="490"/>
      <c r="C274" s="12">
        <v>266</v>
      </c>
      <c r="D274" s="21">
        <f t="shared" si="14"/>
        <v>0</v>
      </c>
      <c r="E274" s="11" t="e">
        <f t="shared" si="12"/>
        <v>#NUM!</v>
      </c>
      <c r="F274" s="11" t="e">
        <f t="shared" si="13"/>
        <v>#NUM!</v>
      </c>
      <c r="G274" s="19">
        <f>IF(G273&lt;0.1,0,$E$4-SUM($E$9:E274))</f>
        <v>0</v>
      </c>
      <c r="H274" s="494"/>
      <c r="I274" s="27"/>
    </row>
    <row r="275" spans="1:9" x14ac:dyDescent="0.15">
      <c r="A275" s="27"/>
      <c r="B275" s="490"/>
      <c r="C275" s="12">
        <v>267</v>
      </c>
      <c r="D275" s="21">
        <f t="shared" si="14"/>
        <v>0</v>
      </c>
      <c r="E275" s="11" t="e">
        <f t="shared" si="12"/>
        <v>#NUM!</v>
      </c>
      <c r="F275" s="11" t="e">
        <f t="shared" si="13"/>
        <v>#NUM!</v>
      </c>
      <c r="G275" s="19">
        <f>IF(G274&lt;0.1,0,$E$4-SUM($E$9:E275))</f>
        <v>0</v>
      </c>
      <c r="H275" s="494"/>
      <c r="I275" s="27"/>
    </row>
    <row r="276" spans="1:9" x14ac:dyDescent="0.15">
      <c r="A276" s="27"/>
      <c r="B276" s="490"/>
      <c r="C276" s="12">
        <v>268</v>
      </c>
      <c r="D276" s="21">
        <f t="shared" si="14"/>
        <v>0</v>
      </c>
      <c r="E276" s="11" t="e">
        <f t="shared" si="12"/>
        <v>#NUM!</v>
      </c>
      <c r="F276" s="11" t="e">
        <f t="shared" si="13"/>
        <v>#NUM!</v>
      </c>
      <c r="G276" s="19">
        <f>IF(G275&lt;0.1,0,$E$4-SUM($E$9:E276))</f>
        <v>0</v>
      </c>
      <c r="H276" s="494"/>
      <c r="I276" s="27"/>
    </row>
    <row r="277" spans="1:9" x14ac:dyDescent="0.15">
      <c r="A277" s="27"/>
      <c r="B277" s="490"/>
      <c r="C277" s="12">
        <v>269</v>
      </c>
      <c r="D277" s="21">
        <f t="shared" si="14"/>
        <v>0</v>
      </c>
      <c r="E277" s="11" t="e">
        <f t="shared" si="12"/>
        <v>#NUM!</v>
      </c>
      <c r="F277" s="11" t="e">
        <f t="shared" si="13"/>
        <v>#NUM!</v>
      </c>
      <c r="G277" s="19">
        <f>IF(G276&lt;0.1,0,$E$4-SUM($E$9:E277))</f>
        <v>0</v>
      </c>
      <c r="H277" s="494"/>
      <c r="I277" s="27"/>
    </row>
    <row r="278" spans="1:9" x14ac:dyDescent="0.15">
      <c r="A278" s="27"/>
      <c r="B278" s="490"/>
      <c r="C278" s="12">
        <v>270</v>
      </c>
      <c r="D278" s="21">
        <f t="shared" si="14"/>
        <v>0</v>
      </c>
      <c r="E278" s="11" t="e">
        <f t="shared" si="12"/>
        <v>#NUM!</v>
      </c>
      <c r="F278" s="11" t="e">
        <f t="shared" si="13"/>
        <v>#NUM!</v>
      </c>
      <c r="G278" s="19">
        <f>IF(G277&lt;0.1,0,$E$4-SUM($E$9:E278))</f>
        <v>0</v>
      </c>
      <c r="H278" s="494"/>
      <c r="I278" s="27"/>
    </row>
    <row r="279" spans="1:9" x14ac:dyDescent="0.15">
      <c r="A279" s="27"/>
      <c r="B279" s="490"/>
      <c r="C279" s="12">
        <v>271</v>
      </c>
      <c r="D279" s="21">
        <f t="shared" si="14"/>
        <v>0</v>
      </c>
      <c r="E279" s="11" t="e">
        <f t="shared" si="12"/>
        <v>#NUM!</v>
      </c>
      <c r="F279" s="11" t="e">
        <f t="shared" si="13"/>
        <v>#NUM!</v>
      </c>
      <c r="G279" s="19">
        <f>IF(G278&lt;0.1,0,$E$4-SUM($E$9:E279))</f>
        <v>0</v>
      </c>
      <c r="H279" s="494"/>
      <c r="I279" s="27"/>
    </row>
    <row r="280" spans="1:9" x14ac:dyDescent="0.15">
      <c r="A280" s="27"/>
      <c r="B280" s="490"/>
      <c r="C280" s="12">
        <v>272</v>
      </c>
      <c r="D280" s="21">
        <f t="shared" si="14"/>
        <v>0</v>
      </c>
      <c r="E280" s="11" t="e">
        <f t="shared" si="12"/>
        <v>#NUM!</v>
      </c>
      <c r="F280" s="11" t="e">
        <f t="shared" si="13"/>
        <v>#NUM!</v>
      </c>
      <c r="G280" s="19">
        <f>IF(G279&lt;0.1,0,$E$4-SUM($E$9:E280))</f>
        <v>0</v>
      </c>
      <c r="H280" s="494"/>
      <c r="I280" s="27"/>
    </row>
    <row r="281" spans="1:9" x14ac:dyDescent="0.15">
      <c r="A281" s="27"/>
      <c r="B281" s="490"/>
      <c r="C281" s="12">
        <v>273</v>
      </c>
      <c r="D281" s="21">
        <f t="shared" si="14"/>
        <v>0</v>
      </c>
      <c r="E281" s="11" t="e">
        <f t="shared" si="12"/>
        <v>#NUM!</v>
      </c>
      <c r="F281" s="11" t="e">
        <f t="shared" si="13"/>
        <v>#NUM!</v>
      </c>
      <c r="G281" s="19">
        <f>IF(G280&lt;0.1,0,$E$4-SUM($E$9:E281))</f>
        <v>0</v>
      </c>
      <c r="H281" s="494"/>
      <c r="I281" s="27"/>
    </row>
    <row r="282" spans="1:9" x14ac:dyDescent="0.15">
      <c r="A282" s="27"/>
      <c r="B282" s="490"/>
      <c r="C282" s="12">
        <v>274</v>
      </c>
      <c r="D282" s="21">
        <f t="shared" si="14"/>
        <v>0</v>
      </c>
      <c r="E282" s="11" t="e">
        <f t="shared" si="12"/>
        <v>#NUM!</v>
      </c>
      <c r="F282" s="11" t="e">
        <f t="shared" si="13"/>
        <v>#NUM!</v>
      </c>
      <c r="G282" s="19">
        <f>IF(G281&lt;0.1,0,$E$4-SUM($E$9:E282))</f>
        <v>0</v>
      </c>
      <c r="H282" s="494"/>
      <c r="I282" s="27"/>
    </row>
    <row r="283" spans="1:9" x14ac:dyDescent="0.15">
      <c r="A283" s="27"/>
      <c r="B283" s="490"/>
      <c r="C283" s="12">
        <v>275</v>
      </c>
      <c r="D283" s="21">
        <f t="shared" si="14"/>
        <v>0</v>
      </c>
      <c r="E283" s="11" t="e">
        <f t="shared" si="12"/>
        <v>#NUM!</v>
      </c>
      <c r="F283" s="11" t="e">
        <f t="shared" si="13"/>
        <v>#NUM!</v>
      </c>
      <c r="G283" s="19">
        <f>IF(G282&lt;0.1,0,$E$4-SUM($E$9:E283))</f>
        <v>0</v>
      </c>
      <c r="H283" s="494"/>
      <c r="I283" s="27"/>
    </row>
    <row r="284" spans="1:9" ht="14.25" thickBot="1" x14ac:dyDescent="0.2">
      <c r="A284" s="27"/>
      <c r="B284" s="490"/>
      <c r="C284" s="12">
        <v>276</v>
      </c>
      <c r="D284" s="21">
        <f t="shared" si="14"/>
        <v>0</v>
      </c>
      <c r="E284" s="11" t="e">
        <f t="shared" si="12"/>
        <v>#NUM!</v>
      </c>
      <c r="F284" s="11" t="e">
        <f t="shared" si="13"/>
        <v>#NUM!</v>
      </c>
      <c r="G284" s="19">
        <f>IF(G283&lt;0.1,0,$E$4-SUM($E$9:E284))</f>
        <v>0</v>
      </c>
      <c r="H284" s="495"/>
      <c r="I284" s="27"/>
    </row>
    <row r="285" spans="1:9" x14ac:dyDescent="0.15">
      <c r="A285" s="27"/>
      <c r="B285" s="490" t="s">
        <v>151</v>
      </c>
      <c r="C285" s="12">
        <v>277</v>
      </c>
      <c r="D285" s="21">
        <f t="shared" si="14"/>
        <v>0</v>
      </c>
      <c r="E285" s="11" t="e">
        <f t="shared" si="12"/>
        <v>#NUM!</v>
      </c>
      <c r="F285" s="11" t="e">
        <f t="shared" si="13"/>
        <v>#NUM!</v>
      </c>
      <c r="G285" s="19">
        <f>IF(G284&lt;0.1,0,$E$4-SUM($E$9:E285))</f>
        <v>0</v>
      </c>
      <c r="H285" s="496">
        <f>+G296</f>
        <v>0</v>
      </c>
      <c r="I285" s="27"/>
    </row>
    <row r="286" spans="1:9" x14ac:dyDescent="0.15">
      <c r="A286" s="27"/>
      <c r="B286" s="490"/>
      <c r="C286" s="12">
        <v>278</v>
      </c>
      <c r="D286" s="21">
        <f t="shared" si="14"/>
        <v>0</v>
      </c>
      <c r="E286" s="11" t="e">
        <f t="shared" si="12"/>
        <v>#NUM!</v>
      </c>
      <c r="F286" s="11" t="e">
        <f t="shared" si="13"/>
        <v>#NUM!</v>
      </c>
      <c r="G286" s="19">
        <f>IF(G285&lt;0.1,0,$E$4-SUM($E$9:E286))</f>
        <v>0</v>
      </c>
      <c r="H286" s="494"/>
      <c r="I286" s="27"/>
    </row>
    <row r="287" spans="1:9" x14ac:dyDescent="0.15">
      <c r="A287" s="27"/>
      <c r="B287" s="490"/>
      <c r="C287" s="12">
        <v>279</v>
      </c>
      <c r="D287" s="21">
        <f t="shared" si="14"/>
        <v>0</v>
      </c>
      <c r="E287" s="11" t="e">
        <f t="shared" si="12"/>
        <v>#NUM!</v>
      </c>
      <c r="F287" s="11" t="e">
        <f t="shared" si="13"/>
        <v>#NUM!</v>
      </c>
      <c r="G287" s="19">
        <f>IF(G286&lt;0.1,0,$E$4-SUM($E$9:E287))</f>
        <v>0</v>
      </c>
      <c r="H287" s="494"/>
      <c r="I287" s="27"/>
    </row>
    <row r="288" spans="1:9" x14ac:dyDescent="0.15">
      <c r="A288" s="27"/>
      <c r="B288" s="490"/>
      <c r="C288" s="12">
        <v>280</v>
      </c>
      <c r="D288" s="21">
        <f t="shared" si="14"/>
        <v>0</v>
      </c>
      <c r="E288" s="11" t="e">
        <f t="shared" si="12"/>
        <v>#NUM!</v>
      </c>
      <c r="F288" s="11" t="e">
        <f t="shared" si="13"/>
        <v>#NUM!</v>
      </c>
      <c r="G288" s="19">
        <f>IF(G287&lt;0.1,0,$E$4-SUM($E$9:E288))</f>
        <v>0</v>
      </c>
      <c r="H288" s="494"/>
      <c r="I288" s="27"/>
    </row>
    <row r="289" spans="1:9" x14ac:dyDescent="0.15">
      <c r="A289" s="27"/>
      <c r="B289" s="490"/>
      <c r="C289" s="12">
        <v>281</v>
      </c>
      <c r="D289" s="21">
        <f t="shared" si="14"/>
        <v>0</v>
      </c>
      <c r="E289" s="11" t="e">
        <f t="shared" si="12"/>
        <v>#NUM!</v>
      </c>
      <c r="F289" s="11" t="e">
        <f t="shared" si="13"/>
        <v>#NUM!</v>
      </c>
      <c r="G289" s="19">
        <f>IF(G288&lt;0.1,0,$E$4-SUM($E$9:E289))</f>
        <v>0</v>
      </c>
      <c r="H289" s="494"/>
      <c r="I289" s="27"/>
    </row>
    <row r="290" spans="1:9" x14ac:dyDescent="0.15">
      <c r="A290" s="27"/>
      <c r="B290" s="490"/>
      <c r="C290" s="12">
        <v>282</v>
      </c>
      <c r="D290" s="21">
        <f t="shared" si="14"/>
        <v>0</v>
      </c>
      <c r="E290" s="11" t="e">
        <f t="shared" si="12"/>
        <v>#NUM!</v>
      </c>
      <c r="F290" s="11" t="e">
        <f t="shared" si="13"/>
        <v>#NUM!</v>
      </c>
      <c r="G290" s="19">
        <f>IF(G289&lt;0.1,0,$E$4-SUM($E$9:E290))</f>
        <v>0</v>
      </c>
      <c r="H290" s="494"/>
      <c r="I290" s="27"/>
    </row>
    <row r="291" spans="1:9" x14ac:dyDescent="0.15">
      <c r="A291" s="27"/>
      <c r="B291" s="490"/>
      <c r="C291" s="12">
        <v>283</v>
      </c>
      <c r="D291" s="21">
        <f t="shared" si="14"/>
        <v>0</v>
      </c>
      <c r="E291" s="11" t="e">
        <f t="shared" si="12"/>
        <v>#NUM!</v>
      </c>
      <c r="F291" s="11" t="e">
        <f t="shared" si="13"/>
        <v>#NUM!</v>
      </c>
      <c r="G291" s="19">
        <f>IF(G290&lt;0.1,0,$E$4-SUM($E$9:E291))</f>
        <v>0</v>
      </c>
      <c r="H291" s="494"/>
      <c r="I291" s="27"/>
    </row>
    <row r="292" spans="1:9" x14ac:dyDescent="0.15">
      <c r="A292" s="27"/>
      <c r="B292" s="490"/>
      <c r="C292" s="12">
        <v>284</v>
      </c>
      <c r="D292" s="21">
        <f t="shared" si="14"/>
        <v>0</v>
      </c>
      <c r="E292" s="11" t="e">
        <f t="shared" si="12"/>
        <v>#NUM!</v>
      </c>
      <c r="F292" s="11" t="e">
        <f t="shared" si="13"/>
        <v>#NUM!</v>
      </c>
      <c r="G292" s="19">
        <f>IF(G291&lt;0.1,0,$E$4-SUM($E$9:E292))</f>
        <v>0</v>
      </c>
      <c r="H292" s="494"/>
      <c r="I292" s="27"/>
    </row>
    <row r="293" spans="1:9" x14ac:dyDescent="0.15">
      <c r="A293" s="27"/>
      <c r="B293" s="490"/>
      <c r="C293" s="12">
        <v>285</v>
      </c>
      <c r="D293" s="21">
        <f t="shared" si="14"/>
        <v>0</v>
      </c>
      <c r="E293" s="11" t="e">
        <f t="shared" si="12"/>
        <v>#NUM!</v>
      </c>
      <c r="F293" s="11" t="e">
        <f t="shared" si="13"/>
        <v>#NUM!</v>
      </c>
      <c r="G293" s="19">
        <f>IF(G292&lt;0.1,0,$E$4-SUM($E$9:E293))</f>
        <v>0</v>
      </c>
      <c r="H293" s="494"/>
      <c r="I293" s="27"/>
    </row>
    <row r="294" spans="1:9" x14ac:dyDescent="0.15">
      <c r="A294" s="27"/>
      <c r="B294" s="490"/>
      <c r="C294" s="12">
        <v>286</v>
      </c>
      <c r="D294" s="21">
        <f t="shared" si="14"/>
        <v>0</v>
      </c>
      <c r="E294" s="11" t="e">
        <f t="shared" si="12"/>
        <v>#NUM!</v>
      </c>
      <c r="F294" s="11" t="e">
        <f t="shared" si="13"/>
        <v>#NUM!</v>
      </c>
      <c r="G294" s="19">
        <f>IF(G293&lt;0.1,0,$E$4-SUM($E$9:E294))</f>
        <v>0</v>
      </c>
      <c r="H294" s="494"/>
      <c r="I294" s="27"/>
    </row>
    <row r="295" spans="1:9" x14ac:dyDescent="0.15">
      <c r="A295" s="27"/>
      <c r="B295" s="490"/>
      <c r="C295" s="12">
        <v>287</v>
      </c>
      <c r="D295" s="21">
        <f t="shared" si="14"/>
        <v>0</v>
      </c>
      <c r="E295" s="11" t="e">
        <f t="shared" si="12"/>
        <v>#NUM!</v>
      </c>
      <c r="F295" s="11" t="e">
        <f t="shared" si="13"/>
        <v>#NUM!</v>
      </c>
      <c r="G295" s="19">
        <f>IF(G294&lt;0.1,0,$E$4-SUM($E$9:E295))</f>
        <v>0</v>
      </c>
      <c r="H295" s="494"/>
      <c r="I295" s="27"/>
    </row>
    <row r="296" spans="1:9" ht="14.25" thickBot="1" x14ac:dyDescent="0.2">
      <c r="A296" s="27"/>
      <c r="B296" s="490"/>
      <c r="C296" s="12">
        <v>288</v>
      </c>
      <c r="D296" s="21">
        <f t="shared" si="14"/>
        <v>0</v>
      </c>
      <c r="E296" s="11" t="e">
        <f t="shared" si="12"/>
        <v>#NUM!</v>
      </c>
      <c r="F296" s="11" t="e">
        <f t="shared" si="13"/>
        <v>#NUM!</v>
      </c>
      <c r="G296" s="19">
        <f>IF(G295&lt;0.1,0,$E$4-SUM($E$9:E296))</f>
        <v>0</v>
      </c>
      <c r="H296" s="495"/>
      <c r="I296" s="27"/>
    </row>
    <row r="297" spans="1:9" x14ac:dyDescent="0.15">
      <c r="A297" s="27"/>
      <c r="B297" s="490" t="s">
        <v>152</v>
      </c>
      <c r="C297" s="12">
        <v>289</v>
      </c>
      <c r="D297" s="21">
        <f t="shared" si="14"/>
        <v>0</v>
      </c>
      <c r="E297" s="11" t="e">
        <f t="shared" si="12"/>
        <v>#NUM!</v>
      </c>
      <c r="F297" s="11" t="e">
        <f t="shared" si="13"/>
        <v>#NUM!</v>
      </c>
      <c r="G297" s="19">
        <f>IF(G296&lt;0.1,0,$E$4-SUM($E$9:E297))</f>
        <v>0</v>
      </c>
      <c r="H297" s="496">
        <f>+G308</f>
        <v>0</v>
      </c>
      <c r="I297" s="27"/>
    </row>
    <row r="298" spans="1:9" x14ac:dyDescent="0.15">
      <c r="A298" s="27"/>
      <c r="B298" s="490"/>
      <c r="C298" s="12">
        <v>290</v>
      </c>
      <c r="D298" s="21">
        <f t="shared" si="14"/>
        <v>0</v>
      </c>
      <c r="E298" s="11" t="e">
        <f t="shared" si="12"/>
        <v>#NUM!</v>
      </c>
      <c r="F298" s="11" t="e">
        <f t="shared" si="13"/>
        <v>#NUM!</v>
      </c>
      <c r="G298" s="19">
        <f>IF(G297&lt;0.1,0,$E$4-SUM($E$9:E298))</f>
        <v>0</v>
      </c>
      <c r="H298" s="494"/>
      <c r="I298" s="27"/>
    </row>
    <row r="299" spans="1:9" x14ac:dyDescent="0.15">
      <c r="A299" s="27"/>
      <c r="B299" s="490"/>
      <c r="C299" s="12">
        <v>291</v>
      </c>
      <c r="D299" s="21">
        <f t="shared" si="14"/>
        <v>0</v>
      </c>
      <c r="E299" s="11" t="e">
        <f t="shared" si="12"/>
        <v>#NUM!</v>
      </c>
      <c r="F299" s="11" t="e">
        <f t="shared" si="13"/>
        <v>#NUM!</v>
      </c>
      <c r="G299" s="19">
        <f>IF(G298&lt;0.1,0,$E$4-SUM($E$9:E299))</f>
        <v>0</v>
      </c>
      <c r="H299" s="494"/>
      <c r="I299" s="27"/>
    </row>
    <row r="300" spans="1:9" x14ac:dyDescent="0.15">
      <c r="A300" s="27"/>
      <c r="B300" s="490"/>
      <c r="C300" s="12">
        <v>292</v>
      </c>
      <c r="D300" s="21">
        <f t="shared" si="14"/>
        <v>0</v>
      </c>
      <c r="E300" s="11" t="e">
        <f t="shared" si="12"/>
        <v>#NUM!</v>
      </c>
      <c r="F300" s="11" t="e">
        <f t="shared" si="13"/>
        <v>#NUM!</v>
      </c>
      <c r="G300" s="19">
        <f>IF(G299&lt;0.1,0,$E$4-SUM($E$9:E300))</f>
        <v>0</v>
      </c>
      <c r="H300" s="494"/>
      <c r="I300" s="27"/>
    </row>
    <row r="301" spans="1:9" x14ac:dyDescent="0.15">
      <c r="A301" s="27"/>
      <c r="B301" s="490"/>
      <c r="C301" s="12">
        <v>293</v>
      </c>
      <c r="D301" s="21">
        <f t="shared" si="14"/>
        <v>0</v>
      </c>
      <c r="E301" s="11" t="e">
        <f t="shared" si="12"/>
        <v>#NUM!</v>
      </c>
      <c r="F301" s="11" t="e">
        <f t="shared" si="13"/>
        <v>#NUM!</v>
      </c>
      <c r="G301" s="19">
        <f>IF(G300&lt;0.1,0,$E$4-SUM($E$9:E301))</f>
        <v>0</v>
      </c>
      <c r="H301" s="494"/>
      <c r="I301" s="27"/>
    </row>
    <row r="302" spans="1:9" x14ac:dyDescent="0.15">
      <c r="A302" s="27"/>
      <c r="B302" s="490"/>
      <c r="C302" s="12">
        <v>294</v>
      </c>
      <c r="D302" s="21">
        <f t="shared" si="14"/>
        <v>0</v>
      </c>
      <c r="E302" s="11" t="e">
        <f t="shared" si="12"/>
        <v>#NUM!</v>
      </c>
      <c r="F302" s="11" t="e">
        <f t="shared" si="13"/>
        <v>#NUM!</v>
      </c>
      <c r="G302" s="19">
        <f>IF(G301&lt;0.1,0,$E$4-SUM($E$9:E302))</f>
        <v>0</v>
      </c>
      <c r="H302" s="494"/>
      <c r="I302" s="27"/>
    </row>
    <row r="303" spans="1:9" x14ac:dyDescent="0.15">
      <c r="A303" s="27"/>
      <c r="B303" s="490"/>
      <c r="C303" s="12">
        <v>295</v>
      </c>
      <c r="D303" s="21">
        <f t="shared" si="14"/>
        <v>0</v>
      </c>
      <c r="E303" s="11" t="e">
        <f t="shared" si="12"/>
        <v>#NUM!</v>
      </c>
      <c r="F303" s="11" t="e">
        <f t="shared" si="13"/>
        <v>#NUM!</v>
      </c>
      <c r="G303" s="19">
        <f>IF(G302&lt;0.1,0,$E$4-SUM($E$9:E303))</f>
        <v>0</v>
      </c>
      <c r="H303" s="494"/>
      <c r="I303" s="27"/>
    </row>
    <row r="304" spans="1:9" x14ac:dyDescent="0.15">
      <c r="A304" s="27"/>
      <c r="B304" s="490"/>
      <c r="C304" s="12">
        <v>296</v>
      </c>
      <c r="D304" s="21">
        <f t="shared" si="14"/>
        <v>0</v>
      </c>
      <c r="E304" s="11" t="e">
        <f t="shared" si="12"/>
        <v>#NUM!</v>
      </c>
      <c r="F304" s="11" t="e">
        <f t="shared" si="13"/>
        <v>#NUM!</v>
      </c>
      <c r="G304" s="19">
        <f>IF(G303&lt;0.1,0,$E$4-SUM($E$9:E304))</f>
        <v>0</v>
      </c>
      <c r="H304" s="494"/>
      <c r="I304" s="27"/>
    </row>
    <row r="305" spans="1:9" x14ac:dyDescent="0.15">
      <c r="A305" s="27"/>
      <c r="B305" s="490"/>
      <c r="C305" s="12">
        <v>297</v>
      </c>
      <c r="D305" s="21">
        <f t="shared" si="14"/>
        <v>0</v>
      </c>
      <c r="E305" s="11" t="e">
        <f t="shared" si="12"/>
        <v>#NUM!</v>
      </c>
      <c r="F305" s="11" t="e">
        <f t="shared" si="13"/>
        <v>#NUM!</v>
      </c>
      <c r="G305" s="19">
        <f>IF(G304&lt;0.1,0,$E$4-SUM($E$9:E305))</f>
        <v>0</v>
      </c>
      <c r="H305" s="494"/>
      <c r="I305" s="27"/>
    </row>
    <row r="306" spans="1:9" x14ac:dyDescent="0.15">
      <c r="A306" s="27"/>
      <c r="B306" s="490"/>
      <c r="C306" s="12">
        <v>298</v>
      </c>
      <c r="D306" s="21">
        <f t="shared" si="14"/>
        <v>0</v>
      </c>
      <c r="E306" s="11" t="e">
        <f t="shared" si="12"/>
        <v>#NUM!</v>
      </c>
      <c r="F306" s="11" t="e">
        <f t="shared" si="13"/>
        <v>#NUM!</v>
      </c>
      <c r="G306" s="19">
        <f>IF(G305&lt;0.1,0,$E$4-SUM($E$9:E306))</f>
        <v>0</v>
      </c>
      <c r="H306" s="494"/>
      <c r="I306" s="27"/>
    </row>
    <row r="307" spans="1:9" x14ac:dyDescent="0.15">
      <c r="A307" s="27"/>
      <c r="B307" s="490"/>
      <c r="C307" s="12">
        <v>299</v>
      </c>
      <c r="D307" s="21">
        <f t="shared" si="14"/>
        <v>0</v>
      </c>
      <c r="E307" s="11" t="e">
        <f t="shared" si="12"/>
        <v>#NUM!</v>
      </c>
      <c r="F307" s="11" t="e">
        <f t="shared" si="13"/>
        <v>#NUM!</v>
      </c>
      <c r="G307" s="19">
        <f>IF(G306&lt;0.1,0,$E$4-SUM($E$9:E307))</f>
        <v>0</v>
      </c>
      <c r="H307" s="494"/>
      <c r="I307" s="27"/>
    </row>
    <row r="308" spans="1:9" ht="14.25" thickBot="1" x14ac:dyDescent="0.2">
      <c r="A308" s="27"/>
      <c r="B308" s="490"/>
      <c r="C308" s="12">
        <v>300</v>
      </c>
      <c r="D308" s="21">
        <f t="shared" si="14"/>
        <v>0</v>
      </c>
      <c r="E308" s="11" t="e">
        <f t="shared" si="12"/>
        <v>#NUM!</v>
      </c>
      <c r="F308" s="11" t="e">
        <f t="shared" si="13"/>
        <v>#NUM!</v>
      </c>
      <c r="G308" s="19">
        <f>IF(G307&lt;0.1,0,$E$4-SUM($E$9:E308))</f>
        <v>0</v>
      </c>
      <c r="H308" s="495"/>
      <c r="I308" s="27"/>
    </row>
    <row r="309" spans="1:9" x14ac:dyDescent="0.15">
      <c r="A309" s="27"/>
      <c r="B309" s="27"/>
      <c r="C309" s="27"/>
      <c r="D309" s="27"/>
      <c r="E309" s="27"/>
      <c r="F309" s="27"/>
      <c r="G309" s="27"/>
      <c r="H309" s="27"/>
      <c r="I309" s="27"/>
    </row>
  </sheetData>
  <sheetProtection password="DB61" sheet="1"/>
  <mergeCells count="52">
    <mergeCell ref="H297:H308"/>
    <mergeCell ref="H237:H248"/>
    <mergeCell ref="H249:H260"/>
    <mergeCell ref="H261:H272"/>
    <mergeCell ref="H273:H284"/>
    <mergeCell ref="H285:H296"/>
    <mergeCell ref="H117:H128"/>
    <mergeCell ref="H129:H140"/>
    <mergeCell ref="B273:B284"/>
    <mergeCell ref="B285:B296"/>
    <mergeCell ref="B249:B260"/>
    <mergeCell ref="B261:B272"/>
    <mergeCell ref="H213:H224"/>
    <mergeCell ref="H225:H236"/>
    <mergeCell ref="H165:H176"/>
    <mergeCell ref="H177:H188"/>
    <mergeCell ref="H189:H200"/>
    <mergeCell ref="H201:H212"/>
    <mergeCell ref="B225:B236"/>
    <mergeCell ref="B237:B248"/>
    <mergeCell ref="B297:B308"/>
    <mergeCell ref="H9:H20"/>
    <mergeCell ref="H21:H32"/>
    <mergeCell ref="H33:H44"/>
    <mergeCell ref="H45:H56"/>
    <mergeCell ref="H57:H68"/>
    <mergeCell ref="H69:H80"/>
    <mergeCell ref="H81:H92"/>
    <mergeCell ref="B153:B164"/>
    <mergeCell ref="B165:B176"/>
    <mergeCell ref="H141:H152"/>
    <mergeCell ref="H153:H164"/>
    <mergeCell ref="B129:B140"/>
    <mergeCell ref="B141:B152"/>
    <mergeCell ref="H93:H104"/>
    <mergeCell ref="H105:H116"/>
    <mergeCell ref="B33:B44"/>
    <mergeCell ref="B45:B56"/>
    <mergeCell ref="B57:B68"/>
    <mergeCell ref="B69:B80"/>
    <mergeCell ref="C3:D4"/>
    <mergeCell ref="C6:D7"/>
    <mergeCell ref="B9:B20"/>
    <mergeCell ref="B21:B32"/>
    <mergeCell ref="B81:B92"/>
    <mergeCell ref="B93:B104"/>
    <mergeCell ref="B201:B212"/>
    <mergeCell ref="B213:B224"/>
    <mergeCell ref="B105:B116"/>
    <mergeCell ref="B117:B128"/>
    <mergeCell ref="B177:B188"/>
    <mergeCell ref="B189:B200"/>
  </mergeCells>
  <phoneticPr fontId="16"/>
  <pageMargins left="0.7" right="0.7" top="0.75" bottom="0.75" header="0.3" footer="0.3"/>
  <pageSetup paperSize="9" scale="80" orientation="portrait" horizontalDpi="300" verticalDpi="300" r:id="rId1"/>
  <rowBreaks count="4" manualBreakCount="4">
    <brk id="68" max="16383" man="1"/>
    <brk id="128" max="16383" man="1"/>
    <brk id="188" max="16383" man="1"/>
    <brk id="24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9"/>
  <sheetViews>
    <sheetView zoomScaleNormal="100" workbookViewId="0"/>
  </sheetViews>
  <sheetFormatPr defaultRowHeight="13.5" x14ac:dyDescent="0.15"/>
  <cols>
    <col min="1" max="1" width="2.5" customWidth="1"/>
    <col min="2" max="3" width="10.625" customWidth="1"/>
    <col min="4" max="4" width="15.625" customWidth="1"/>
    <col min="5" max="5" width="22.625" customWidth="1"/>
    <col min="6" max="6" width="20.625" customWidth="1"/>
    <col min="7" max="8" width="22.625" customWidth="1"/>
    <col min="9" max="9" width="3.25" customWidth="1"/>
    <col min="10" max="10" width="9.5" bestFit="1" customWidth="1"/>
  </cols>
  <sheetData>
    <row r="1" spans="1:12" x14ac:dyDescent="0.15">
      <c r="A1" s="30" t="s">
        <v>158</v>
      </c>
      <c r="B1" s="27"/>
      <c r="C1" s="27"/>
      <c r="D1" s="27"/>
      <c r="E1" s="39" t="s">
        <v>159</v>
      </c>
      <c r="F1" s="27"/>
      <c r="G1" s="39" t="s">
        <v>160</v>
      </c>
      <c r="H1" s="217">
        <f>シート１!AD24</f>
        <v>2028</v>
      </c>
      <c r="I1" s="27"/>
    </row>
    <row r="2" spans="1:12" x14ac:dyDescent="0.15">
      <c r="A2" s="27"/>
      <c r="B2" s="27"/>
      <c r="C2" s="27"/>
      <c r="D2" s="27"/>
      <c r="E2" s="27"/>
      <c r="F2" s="27"/>
      <c r="G2" s="38"/>
      <c r="H2" s="31" t="s">
        <v>154</v>
      </c>
      <c r="I2" s="27"/>
    </row>
    <row r="3" spans="1:12" x14ac:dyDescent="0.15">
      <c r="A3" s="27"/>
      <c r="B3" s="27"/>
      <c r="C3" s="491" t="s">
        <v>116</v>
      </c>
      <c r="D3" s="491"/>
      <c r="E3" s="13" t="s">
        <v>117</v>
      </c>
      <c r="F3" s="13"/>
      <c r="G3" s="13" t="s">
        <v>118</v>
      </c>
      <c r="H3" s="13" t="s">
        <v>119</v>
      </c>
      <c r="I3" s="27"/>
      <c r="L3">
        <v>14435604.868920587</v>
      </c>
    </row>
    <row r="4" spans="1:12" x14ac:dyDescent="0.15">
      <c r="A4" s="27"/>
      <c r="B4" s="27"/>
      <c r="C4" s="491"/>
      <c r="D4" s="491"/>
      <c r="E4" s="21">
        <f>シート１!AD25*10000</f>
        <v>1000000</v>
      </c>
      <c r="F4" s="22"/>
      <c r="G4" s="22">
        <f>シート１!AD22</f>
        <v>1.4999999999999999E-2</v>
      </c>
      <c r="H4" s="50">
        <f>シート１!AH24</f>
        <v>24</v>
      </c>
      <c r="I4" s="27"/>
      <c r="L4">
        <v>13807994.626961997</v>
      </c>
    </row>
    <row r="5" spans="1:12" x14ac:dyDescent="0.15">
      <c r="A5" s="27"/>
      <c r="B5" s="27"/>
      <c r="C5" s="27"/>
      <c r="D5" s="27"/>
      <c r="E5" s="27"/>
      <c r="F5" s="27"/>
      <c r="G5" s="27"/>
      <c r="H5" s="27"/>
      <c r="I5" s="27"/>
      <c r="L5">
        <v>13167716.476650359</v>
      </c>
    </row>
    <row r="6" spans="1:12" x14ac:dyDescent="0.15">
      <c r="A6" s="27"/>
      <c r="B6" s="35"/>
      <c r="C6" s="492" t="s">
        <v>120</v>
      </c>
      <c r="D6" s="492"/>
      <c r="E6" s="14" t="s">
        <v>121</v>
      </c>
      <c r="F6" s="14"/>
      <c r="G6" s="14" t="s">
        <v>127</v>
      </c>
      <c r="H6" s="14" t="s">
        <v>122</v>
      </c>
      <c r="I6" s="27"/>
      <c r="L6">
        <v>12514514.724417739</v>
      </c>
    </row>
    <row r="7" spans="1:12" x14ac:dyDescent="0.15">
      <c r="A7" s="27"/>
      <c r="B7" s="36"/>
      <c r="C7" s="492"/>
      <c r="D7" s="492"/>
      <c r="E7" s="21">
        <f>-PMT(G4/12,H4,E4)</f>
        <v>42320.825913089117</v>
      </c>
      <c r="F7" s="25"/>
      <c r="G7" s="23">
        <f>+E7*12</f>
        <v>507849.91095706937</v>
      </c>
      <c r="H7" s="24">
        <f>+E7*H4</f>
        <v>1015699.8219141387</v>
      </c>
      <c r="I7" s="27"/>
      <c r="L7">
        <v>11848128.515686272</v>
      </c>
    </row>
    <row r="8" spans="1:12" x14ac:dyDescent="0.15">
      <c r="A8" s="27"/>
      <c r="B8" s="37"/>
      <c r="C8" s="14" t="s">
        <v>123</v>
      </c>
      <c r="D8" s="14" t="s">
        <v>121</v>
      </c>
      <c r="E8" s="14" t="s">
        <v>124</v>
      </c>
      <c r="F8" s="14" t="s">
        <v>125</v>
      </c>
      <c r="G8" s="20" t="s">
        <v>126</v>
      </c>
      <c r="H8" s="14" t="s">
        <v>153</v>
      </c>
      <c r="I8" s="27"/>
      <c r="L8">
        <v>11168291.730696522</v>
      </c>
    </row>
    <row r="9" spans="1:12" x14ac:dyDescent="0.15">
      <c r="A9" s="27"/>
      <c r="B9" s="490" t="s">
        <v>128</v>
      </c>
      <c r="C9" s="12">
        <v>1</v>
      </c>
      <c r="D9" s="21">
        <f>$E$7</f>
        <v>42320.825913089117</v>
      </c>
      <c r="E9" s="11">
        <f>IF($H$4&gt;C9-1,-PPMT($G$4/12,$C9,$H$4,$E$4),0)</f>
        <v>41070.825913089117</v>
      </c>
      <c r="F9" s="11">
        <f>-IPMT($G$4/12,$C9,$H$4,$E$4)</f>
        <v>1250</v>
      </c>
      <c r="G9" s="19">
        <f>$E$4-SUM($E$9:E9)</f>
        <v>958929.17408691091</v>
      </c>
      <c r="H9" s="493">
        <f>+G20</f>
        <v>503747.58802201669</v>
      </c>
      <c r="I9" s="27"/>
      <c r="L9">
        <v>10474732.878233172</v>
      </c>
    </row>
    <row r="10" spans="1:12" x14ac:dyDescent="0.15">
      <c r="A10" s="27"/>
      <c r="B10" s="490"/>
      <c r="C10" s="12">
        <v>2</v>
      </c>
      <c r="D10" s="21">
        <f t="shared" ref="D10:D73" si="0">$E$7</f>
        <v>42320.825913089117</v>
      </c>
      <c r="E10" s="11">
        <f t="shared" ref="E10:E73" si="1">IF($H$4&gt;C10-1,-PPMT($G$4/12,$C10,$H$4,$E$4),0)</f>
        <v>41122.164445480477</v>
      </c>
      <c r="F10" s="11">
        <f t="shared" ref="F10:F73" si="2">-IPMT($G$4/12,$C10,$H$4,$E$4)</f>
        <v>1198.6614676086383</v>
      </c>
      <c r="G10" s="19">
        <f>$E$4-SUM($E$9:E10)</f>
        <v>917807.00964143034</v>
      </c>
      <c r="H10" s="494"/>
      <c r="I10" s="27"/>
      <c r="J10">
        <f>75883*240</f>
        <v>18211920</v>
      </c>
      <c r="L10">
        <v>9767174.9872056451</v>
      </c>
    </row>
    <row r="11" spans="1:12" x14ac:dyDescent="0.15">
      <c r="A11" s="27"/>
      <c r="B11" s="490"/>
      <c r="C11" s="12">
        <v>3</v>
      </c>
      <c r="D11" s="21">
        <f t="shared" si="0"/>
        <v>42320.825913089117</v>
      </c>
      <c r="E11" s="11">
        <f t="shared" si="1"/>
        <v>41173.567151037329</v>
      </c>
      <c r="F11" s="11">
        <f t="shared" si="2"/>
        <v>1147.2587620517879</v>
      </c>
      <c r="G11" s="19">
        <f>$E$4-SUM($E$9:E11)</f>
        <v>876633.44249039306</v>
      </c>
      <c r="H11" s="494"/>
      <c r="I11" s="27"/>
      <c r="L11">
        <v>9045335.4960403666</v>
      </c>
    </row>
    <row r="12" spans="1:12" x14ac:dyDescent="0.15">
      <c r="A12" s="27"/>
      <c r="B12" s="490"/>
      <c r="C12" s="12">
        <v>4</v>
      </c>
      <c r="D12" s="21">
        <f t="shared" si="0"/>
        <v>42320.825913089117</v>
      </c>
      <c r="E12" s="11">
        <f t="shared" si="1"/>
        <v>41225.034109976128</v>
      </c>
      <c r="F12" s="11">
        <f t="shared" si="2"/>
        <v>1095.7918031129914</v>
      </c>
      <c r="G12" s="19">
        <f>$E$4-SUM($E$9:E12)</f>
        <v>835408.40838041692</v>
      </c>
      <c r="H12" s="494"/>
      <c r="I12" s="27"/>
      <c r="L12">
        <v>8308926.1398404529</v>
      </c>
    </row>
    <row r="13" spans="1:12" x14ac:dyDescent="0.15">
      <c r="A13" s="27"/>
      <c r="B13" s="490"/>
      <c r="C13" s="12">
        <v>5</v>
      </c>
      <c r="D13" s="21">
        <f t="shared" si="0"/>
        <v>42320.825913089117</v>
      </c>
      <c r="E13" s="11">
        <f t="shared" si="1"/>
        <v>41276.565402613596</v>
      </c>
      <c r="F13" s="11">
        <f t="shared" si="2"/>
        <v>1044.2605104755212</v>
      </c>
      <c r="G13" s="19">
        <f>$E$4-SUM($E$9:E13)</f>
        <v>794131.84297780332</v>
      </c>
      <c r="H13" s="494"/>
      <c r="I13" s="27"/>
      <c r="L13">
        <v>7557652.8352678129</v>
      </c>
    </row>
    <row r="14" spans="1:12" x14ac:dyDescent="0.15">
      <c r="A14" s="27"/>
      <c r="B14" s="490"/>
      <c r="C14" s="12">
        <v>6</v>
      </c>
      <c r="D14" s="21">
        <f t="shared" si="0"/>
        <v>42320.825913089117</v>
      </c>
      <c r="E14" s="11">
        <f t="shared" si="1"/>
        <v>41328.161109366862</v>
      </c>
      <c r="F14" s="11">
        <f t="shared" si="2"/>
        <v>992.66480372225419</v>
      </c>
      <c r="G14" s="19">
        <f>$E$4-SUM($E$9:E14)</f>
        <v>752803.68186843651</v>
      </c>
      <c r="H14" s="494"/>
      <c r="I14" s="27"/>
      <c r="L14">
        <v>6791215.5631016642</v>
      </c>
    </row>
    <row r="15" spans="1:12" x14ac:dyDescent="0.15">
      <c r="A15" s="27"/>
      <c r="B15" s="490"/>
      <c r="C15" s="12">
        <v>7</v>
      </c>
      <c r="D15" s="21">
        <f t="shared" si="0"/>
        <v>42320.825913089117</v>
      </c>
      <c r="E15" s="11">
        <f t="shared" si="1"/>
        <v>41379.82131075357</v>
      </c>
      <c r="F15" s="11">
        <f t="shared" si="2"/>
        <v>941.00460233554566</v>
      </c>
      <c r="G15" s="19">
        <f>$E$4-SUM($E$9:E15)</f>
        <v>711423.86055768281</v>
      </c>
      <c r="H15" s="494"/>
      <c r="I15" s="27"/>
      <c r="L15">
        <v>6009308.248426551</v>
      </c>
    </row>
    <row r="16" spans="1:12" x14ac:dyDescent="0.15">
      <c r="A16" s="27"/>
      <c r="B16" s="490"/>
      <c r="C16" s="12">
        <v>8</v>
      </c>
      <c r="D16" s="21">
        <f t="shared" si="0"/>
        <v>42320.825913089117</v>
      </c>
      <c r="E16" s="11">
        <f t="shared" si="1"/>
        <v>41431.546087392009</v>
      </c>
      <c r="F16" s="11">
        <f t="shared" si="2"/>
        <v>889.27982569710377</v>
      </c>
      <c r="G16" s="19">
        <f>$E$4-SUM($E$9:E16)</f>
        <v>669992.3144702909</v>
      </c>
      <c r="H16" s="494"/>
      <c r="I16" s="27"/>
      <c r="L16">
        <v>5211618.638402069</v>
      </c>
    </row>
    <row r="17" spans="1:12" x14ac:dyDescent="0.15">
      <c r="A17" s="27"/>
      <c r="B17" s="490"/>
      <c r="C17" s="12">
        <v>9</v>
      </c>
      <c r="D17" s="21">
        <f t="shared" si="0"/>
        <v>42320.825913089117</v>
      </c>
      <c r="E17" s="11">
        <f t="shared" si="1"/>
        <v>41483.335520001252</v>
      </c>
      <c r="F17" s="11">
        <f t="shared" si="2"/>
        <v>837.49039308786359</v>
      </c>
      <c r="G17" s="19">
        <f>$E$4-SUM($E$9:E17)</f>
        <v>628508.97895028954</v>
      </c>
      <c r="H17" s="494"/>
      <c r="I17" s="27"/>
      <c r="L17">
        <v>4397828.1775654145</v>
      </c>
    </row>
    <row r="18" spans="1:12" x14ac:dyDescent="0.15">
      <c r="A18" s="27"/>
      <c r="B18" s="490"/>
      <c r="C18" s="12">
        <v>10</v>
      </c>
      <c r="D18" s="21">
        <f t="shared" si="0"/>
        <v>42320.825913089117</v>
      </c>
      <c r="E18" s="11">
        <f t="shared" si="1"/>
        <v>41535.189689401253</v>
      </c>
      <c r="F18" s="11">
        <f t="shared" si="2"/>
        <v>785.63622368786207</v>
      </c>
      <c r="G18" s="19">
        <f>$E$4-SUM($E$9:E18)</f>
        <v>586973.78926088836</v>
      </c>
      <c r="H18" s="494"/>
      <c r="I18" s="27"/>
      <c r="L18">
        <v>3567611.8806170169</v>
      </c>
    </row>
    <row r="19" spans="1:12" x14ac:dyDescent="0.15">
      <c r="A19" s="27"/>
      <c r="B19" s="490"/>
      <c r="C19" s="12">
        <v>11</v>
      </c>
      <c r="D19" s="21">
        <f t="shared" si="0"/>
        <v>42320.825913089117</v>
      </c>
      <c r="E19" s="11">
        <f t="shared" si="1"/>
        <v>41587.108676513009</v>
      </c>
      <c r="F19" s="11">
        <f t="shared" si="2"/>
        <v>733.71723657611062</v>
      </c>
      <c r="G19" s="19">
        <f>$E$4-SUM($E$9:E19)</f>
        <v>545386.68058437528</v>
      </c>
      <c r="H19" s="494"/>
      <c r="I19" s="27"/>
      <c r="L19">
        <v>2720638.2026384361</v>
      </c>
    </row>
    <row r="20" spans="1:12" ht="14.25" thickBot="1" x14ac:dyDescent="0.2">
      <c r="A20" s="27"/>
      <c r="B20" s="490"/>
      <c r="C20" s="12">
        <v>12</v>
      </c>
      <c r="D20" s="21">
        <f t="shared" si="0"/>
        <v>42320.825913089117</v>
      </c>
      <c r="E20" s="11">
        <f t="shared" si="1"/>
        <v>41639.092562358644</v>
      </c>
      <c r="F20" s="11">
        <f t="shared" si="2"/>
        <v>681.73335073046928</v>
      </c>
      <c r="G20" s="19">
        <f>$E$4-SUM($E$9:E20)</f>
        <v>503747.58802201669</v>
      </c>
      <c r="H20" s="495"/>
      <c r="I20" s="27"/>
      <c r="L20">
        <v>1856568.9066906665</v>
      </c>
    </row>
    <row r="21" spans="1:12" x14ac:dyDescent="0.15">
      <c r="A21" s="27"/>
      <c r="B21" s="490" t="s">
        <v>129</v>
      </c>
      <c r="C21" s="12">
        <v>13</v>
      </c>
      <c r="D21" s="21">
        <f t="shared" si="0"/>
        <v>42320.825913089117</v>
      </c>
      <c r="E21" s="11">
        <f t="shared" si="1"/>
        <v>41691.141428061594</v>
      </c>
      <c r="F21" s="11">
        <f t="shared" si="2"/>
        <v>629.68448502752096</v>
      </c>
      <c r="G21" s="19">
        <f>$E$4-SUM($E$9:E21)</f>
        <v>462056.44659395504</v>
      </c>
      <c r="H21" s="496">
        <f>+G32</f>
        <v>0</v>
      </c>
      <c r="I21" s="27"/>
      <c r="L21">
        <v>975058.92874001898</v>
      </c>
    </row>
    <row r="22" spans="1:12" x14ac:dyDescent="0.15">
      <c r="A22" s="27"/>
      <c r="B22" s="490"/>
      <c r="C22" s="12">
        <v>14</v>
      </c>
      <c r="D22" s="21">
        <f t="shared" si="0"/>
        <v>42320.825913089117</v>
      </c>
      <c r="E22" s="11">
        <f t="shared" si="1"/>
        <v>41743.255354846668</v>
      </c>
      <c r="F22" s="11">
        <f t="shared" si="2"/>
        <v>577.57055824244401</v>
      </c>
      <c r="G22" s="19">
        <f>$E$4-SUM($E$9:E22)</f>
        <v>420313.19123910833</v>
      </c>
      <c r="H22" s="494"/>
      <c r="I22" s="27"/>
      <c r="L22">
        <v>75756.239857625216</v>
      </c>
    </row>
    <row r="23" spans="1:12" x14ac:dyDescent="0.15">
      <c r="A23" s="27"/>
      <c r="B23" s="490"/>
      <c r="C23" s="12">
        <v>15</v>
      </c>
      <c r="D23" s="21">
        <f t="shared" si="0"/>
        <v>42320.825913089117</v>
      </c>
      <c r="E23" s="11">
        <f t="shared" si="1"/>
        <v>41795.434424040228</v>
      </c>
      <c r="F23" s="11">
        <f t="shared" si="2"/>
        <v>525.39148904888555</v>
      </c>
      <c r="G23" s="19">
        <f>$E$4-SUM($E$9:E23)</f>
        <v>378517.75681506807</v>
      </c>
      <c r="H23" s="494"/>
      <c r="I23" s="27"/>
      <c r="L23">
        <v>6.2212347984313965E-7</v>
      </c>
    </row>
    <row r="24" spans="1:12" x14ac:dyDescent="0.15">
      <c r="A24" s="27"/>
      <c r="B24" s="490"/>
      <c r="C24" s="12">
        <v>16</v>
      </c>
      <c r="D24" s="21">
        <f t="shared" si="0"/>
        <v>42320.825913089117</v>
      </c>
      <c r="E24" s="11">
        <f t="shared" si="1"/>
        <v>41847.678717070281</v>
      </c>
      <c r="F24" s="11">
        <f t="shared" si="2"/>
        <v>473.14719601883525</v>
      </c>
      <c r="G24" s="19">
        <f>$E$4-SUM($E$9:E24)</f>
        <v>336670.07809799782</v>
      </c>
      <c r="H24" s="494"/>
      <c r="I24" s="27"/>
      <c r="L24">
        <v>6.2212347984313965E-7</v>
      </c>
    </row>
    <row r="25" spans="1:12" x14ac:dyDescent="0.15">
      <c r="A25" s="27"/>
      <c r="B25" s="490"/>
      <c r="C25" s="12">
        <v>17</v>
      </c>
      <c r="D25" s="21">
        <f t="shared" si="0"/>
        <v>42320.825913089117</v>
      </c>
      <c r="E25" s="11">
        <f t="shared" si="1"/>
        <v>41899.988315466617</v>
      </c>
      <c r="F25" s="11">
        <f t="shared" si="2"/>
        <v>420.83759762249747</v>
      </c>
      <c r="G25" s="19">
        <f>$E$4-SUM($E$9:E25)</f>
        <v>294770.08978253114</v>
      </c>
      <c r="H25" s="494"/>
      <c r="I25" s="27"/>
      <c r="L25">
        <v>6.2212347984313965E-7</v>
      </c>
    </row>
    <row r="26" spans="1:12" x14ac:dyDescent="0.15">
      <c r="A26" s="27"/>
      <c r="B26" s="490"/>
      <c r="C26" s="12">
        <v>18</v>
      </c>
      <c r="D26" s="21">
        <f t="shared" si="0"/>
        <v>42320.825913089117</v>
      </c>
      <c r="E26" s="11">
        <f t="shared" si="1"/>
        <v>41952.363300860954</v>
      </c>
      <c r="F26" s="11">
        <f t="shared" si="2"/>
        <v>368.46261222816423</v>
      </c>
      <c r="G26" s="19">
        <f>$E$4-SUM($E$9:E26)</f>
        <v>252817.72648167016</v>
      </c>
      <c r="H26" s="494"/>
      <c r="I26" s="27"/>
      <c r="L26">
        <v>6.2212347984313965E-7</v>
      </c>
    </row>
    <row r="27" spans="1:12" x14ac:dyDescent="0.15">
      <c r="A27" s="27"/>
      <c r="B27" s="490"/>
      <c r="C27" s="12">
        <v>19</v>
      </c>
      <c r="D27" s="21">
        <f t="shared" si="0"/>
        <v>42320.825913089117</v>
      </c>
      <c r="E27" s="11">
        <f t="shared" si="1"/>
        <v>42004.803754987028</v>
      </c>
      <c r="F27" s="11">
        <f t="shared" si="2"/>
        <v>316.02215810208799</v>
      </c>
      <c r="G27" s="19">
        <f>$E$4-SUM($E$9:E27)</f>
        <v>210812.92272668309</v>
      </c>
      <c r="H27" s="494"/>
      <c r="I27" s="27"/>
      <c r="L27">
        <v>6.2212347984313965E-7</v>
      </c>
    </row>
    <row r="28" spans="1:12" x14ac:dyDescent="0.15">
      <c r="A28" s="27"/>
      <c r="B28" s="490"/>
      <c r="C28" s="12">
        <v>20</v>
      </c>
      <c r="D28" s="21">
        <f t="shared" si="0"/>
        <v>42320.825913089117</v>
      </c>
      <c r="E28" s="11">
        <f t="shared" si="1"/>
        <v>42057.309759680757</v>
      </c>
      <c r="F28" s="11">
        <f t="shared" si="2"/>
        <v>263.51615340835423</v>
      </c>
      <c r="G28" s="19">
        <f>$E$4-SUM($E$9:E28)</f>
        <v>168755.61296700232</v>
      </c>
      <c r="H28" s="494"/>
      <c r="I28" s="27"/>
    </row>
    <row r="29" spans="1:12" x14ac:dyDescent="0.15">
      <c r="A29" s="27"/>
      <c r="B29" s="490"/>
      <c r="C29" s="12">
        <v>21</v>
      </c>
      <c r="D29" s="21">
        <f t="shared" si="0"/>
        <v>42320.825913089117</v>
      </c>
      <c r="E29" s="11">
        <f t="shared" si="1"/>
        <v>42109.881396880359</v>
      </c>
      <c r="F29" s="11">
        <f t="shared" si="2"/>
        <v>210.94451620875327</v>
      </c>
      <c r="G29" s="19">
        <f>$E$4-SUM($E$9:E29)</f>
        <v>126645.73157012195</v>
      </c>
      <c r="H29" s="494"/>
      <c r="I29" s="27"/>
    </row>
    <row r="30" spans="1:12" x14ac:dyDescent="0.15">
      <c r="A30" s="27"/>
      <c r="B30" s="490"/>
      <c r="C30" s="12">
        <v>22</v>
      </c>
      <c r="D30" s="21">
        <f t="shared" si="0"/>
        <v>42320.825913089117</v>
      </c>
      <c r="E30" s="11">
        <f t="shared" si="1"/>
        <v>42162.518748626455</v>
      </c>
      <c r="F30" s="11">
        <f t="shared" si="2"/>
        <v>158.30716446265285</v>
      </c>
      <c r="G30" s="19">
        <f>$E$4-SUM($E$9:E30)</f>
        <v>84483.212821495486</v>
      </c>
      <c r="H30" s="494"/>
      <c r="I30" s="27"/>
    </row>
    <row r="31" spans="1:12" x14ac:dyDescent="0.15">
      <c r="A31" s="27"/>
      <c r="B31" s="490"/>
      <c r="C31" s="12">
        <v>23</v>
      </c>
      <c r="D31" s="21">
        <f t="shared" si="0"/>
        <v>42320.825913089117</v>
      </c>
      <c r="E31" s="11">
        <f t="shared" si="1"/>
        <v>42215.221897062242</v>
      </c>
      <c r="F31" s="11">
        <f t="shared" si="2"/>
        <v>105.60401602686976</v>
      </c>
      <c r="G31" s="19">
        <f>$E$4-SUM($E$9:E31)</f>
        <v>42267.990924433223</v>
      </c>
      <c r="H31" s="494"/>
      <c r="I31" s="27"/>
    </row>
    <row r="32" spans="1:12" ht="14.25" thickBot="1" x14ac:dyDescent="0.2">
      <c r="A32" s="27"/>
      <c r="B32" s="490"/>
      <c r="C32" s="12">
        <v>24</v>
      </c>
      <c r="D32" s="21">
        <f t="shared" si="0"/>
        <v>42320.825913089117</v>
      </c>
      <c r="E32" s="11">
        <f t="shared" si="1"/>
        <v>42267.990924433572</v>
      </c>
      <c r="F32" s="11">
        <f t="shared" si="2"/>
        <v>52.834988655541963</v>
      </c>
      <c r="G32" s="19">
        <f>$E$4-SUM($E$9:E32)</f>
        <v>0</v>
      </c>
      <c r="H32" s="495"/>
      <c r="I32" s="27"/>
    </row>
    <row r="33" spans="1:9" x14ac:dyDescent="0.15">
      <c r="A33" s="27"/>
      <c r="B33" s="490" t="s">
        <v>130</v>
      </c>
      <c r="C33" s="12">
        <v>25</v>
      </c>
      <c r="D33" s="21">
        <f t="shared" si="0"/>
        <v>42320.825913089117</v>
      </c>
      <c r="E33" s="11">
        <f t="shared" si="1"/>
        <v>0</v>
      </c>
      <c r="F33" s="11" t="e">
        <f t="shared" si="2"/>
        <v>#NUM!</v>
      </c>
      <c r="G33" s="19">
        <f>$E$4-SUM($E$9:E33)</f>
        <v>0</v>
      </c>
      <c r="H33" s="496">
        <f>+G44</f>
        <v>0</v>
      </c>
      <c r="I33" s="27"/>
    </row>
    <row r="34" spans="1:9" x14ac:dyDescent="0.15">
      <c r="A34" s="27"/>
      <c r="B34" s="490"/>
      <c r="C34" s="12">
        <v>26</v>
      </c>
      <c r="D34" s="21">
        <f t="shared" si="0"/>
        <v>42320.825913089117</v>
      </c>
      <c r="E34" s="11">
        <f t="shared" si="1"/>
        <v>0</v>
      </c>
      <c r="F34" s="11" t="e">
        <f t="shared" si="2"/>
        <v>#NUM!</v>
      </c>
      <c r="G34" s="19">
        <f>$E$4-SUM($E$9:E34)</f>
        <v>0</v>
      </c>
      <c r="H34" s="494"/>
      <c r="I34" s="27"/>
    </row>
    <row r="35" spans="1:9" x14ac:dyDescent="0.15">
      <c r="A35" s="27"/>
      <c r="B35" s="490"/>
      <c r="C35" s="12">
        <v>27</v>
      </c>
      <c r="D35" s="21">
        <f t="shared" si="0"/>
        <v>42320.825913089117</v>
      </c>
      <c r="E35" s="11">
        <f t="shared" si="1"/>
        <v>0</v>
      </c>
      <c r="F35" s="11" t="e">
        <f t="shared" si="2"/>
        <v>#NUM!</v>
      </c>
      <c r="G35" s="19">
        <f>$E$4-SUM($E$9:E35)</f>
        <v>0</v>
      </c>
      <c r="H35" s="494"/>
      <c r="I35" s="27"/>
    </row>
    <row r="36" spans="1:9" x14ac:dyDescent="0.15">
      <c r="A36" s="27"/>
      <c r="B36" s="490"/>
      <c r="C36" s="12">
        <v>28</v>
      </c>
      <c r="D36" s="21">
        <f t="shared" si="0"/>
        <v>42320.825913089117</v>
      </c>
      <c r="E36" s="11">
        <f t="shared" si="1"/>
        <v>0</v>
      </c>
      <c r="F36" s="11" t="e">
        <f t="shared" si="2"/>
        <v>#NUM!</v>
      </c>
      <c r="G36" s="19">
        <f>$E$4-SUM($E$9:E36)</f>
        <v>0</v>
      </c>
      <c r="H36" s="494"/>
      <c r="I36" s="27"/>
    </row>
    <row r="37" spans="1:9" x14ac:dyDescent="0.15">
      <c r="A37" s="27"/>
      <c r="B37" s="490"/>
      <c r="C37" s="12">
        <v>29</v>
      </c>
      <c r="D37" s="21">
        <f t="shared" si="0"/>
        <v>42320.825913089117</v>
      </c>
      <c r="E37" s="11">
        <f t="shared" si="1"/>
        <v>0</v>
      </c>
      <c r="F37" s="11" t="e">
        <f t="shared" si="2"/>
        <v>#NUM!</v>
      </c>
      <c r="G37" s="19">
        <f>$E$4-SUM($E$9:E37)</f>
        <v>0</v>
      </c>
      <c r="H37" s="494"/>
      <c r="I37" s="27"/>
    </row>
    <row r="38" spans="1:9" x14ac:dyDescent="0.15">
      <c r="A38" s="27"/>
      <c r="B38" s="490"/>
      <c r="C38" s="12">
        <v>30</v>
      </c>
      <c r="D38" s="21">
        <f t="shared" si="0"/>
        <v>42320.825913089117</v>
      </c>
      <c r="E38" s="11">
        <f t="shared" si="1"/>
        <v>0</v>
      </c>
      <c r="F38" s="11" t="e">
        <f t="shared" si="2"/>
        <v>#NUM!</v>
      </c>
      <c r="G38" s="19">
        <f>$E$4-SUM($E$9:E38)</f>
        <v>0</v>
      </c>
      <c r="H38" s="494"/>
      <c r="I38" s="27"/>
    </row>
    <row r="39" spans="1:9" x14ac:dyDescent="0.15">
      <c r="A39" s="27"/>
      <c r="B39" s="490"/>
      <c r="C39" s="12">
        <v>31</v>
      </c>
      <c r="D39" s="21">
        <f t="shared" si="0"/>
        <v>42320.825913089117</v>
      </c>
      <c r="E39" s="11">
        <f t="shared" si="1"/>
        <v>0</v>
      </c>
      <c r="F39" s="11" t="e">
        <f t="shared" si="2"/>
        <v>#NUM!</v>
      </c>
      <c r="G39" s="19">
        <f>$E$4-SUM($E$9:E39)</f>
        <v>0</v>
      </c>
      <c r="H39" s="494"/>
      <c r="I39" s="27"/>
    </row>
    <row r="40" spans="1:9" x14ac:dyDescent="0.15">
      <c r="A40" s="27"/>
      <c r="B40" s="490"/>
      <c r="C40" s="12">
        <v>32</v>
      </c>
      <c r="D40" s="21">
        <f t="shared" si="0"/>
        <v>42320.825913089117</v>
      </c>
      <c r="E40" s="11">
        <f t="shared" si="1"/>
        <v>0</v>
      </c>
      <c r="F40" s="11" t="e">
        <f t="shared" si="2"/>
        <v>#NUM!</v>
      </c>
      <c r="G40" s="19">
        <f>$E$4-SUM($E$9:E40)</f>
        <v>0</v>
      </c>
      <c r="H40" s="494"/>
      <c r="I40" s="27"/>
    </row>
    <row r="41" spans="1:9" x14ac:dyDescent="0.15">
      <c r="A41" s="27"/>
      <c r="B41" s="490"/>
      <c r="C41" s="12">
        <v>33</v>
      </c>
      <c r="D41" s="21">
        <f t="shared" si="0"/>
        <v>42320.825913089117</v>
      </c>
      <c r="E41" s="11">
        <f t="shared" si="1"/>
        <v>0</v>
      </c>
      <c r="F41" s="11" t="e">
        <f t="shared" si="2"/>
        <v>#NUM!</v>
      </c>
      <c r="G41" s="19">
        <f>$E$4-SUM($E$9:E41)</f>
        <v>0</v>
      </c>
      <c r="H41" s="494"/>
      <c r="I41" s="27"/>
    </row>
    <row r="42" spans="1:9" x14ac:dyDescent="0.15">
      <c r="A42" s="27"/>
      <c r="B42" s="490"/>
      <c r="C42" s="12">
        <v>34</v>
      </c>
      <c r="D42" s="21">
        <f t="shared" si="0"/>
        <v>42320.825913089117</v>
      </c>
      <c r="E42" s="11">
        <f t="shared" si="1"/>
        <v>0</v>
      </c>
      <c r="F42" s="11" t="e">
        <f t="shared" si="2"/>
        <v>#NUM!</v>
      </c>
      <c r="G42" s="19">
        <f>$E$4-SUM($E$9:E42)</f>
        <v>0</v>
      </c>
      <c r="H42" s="494"/>
      <c r="I42" s="27"/>
    </row>
    <row r="43" spans="1:9" x14ac:dyDescent="0.15">
      <c r="A43" s="27"/>
      <c r="B43" s="490"/>
      <c r="C43" s="12">
        <v>35</v>
      </c>
      <c r="D43" s="21">
        <f t="shared" si="0"/>
        <v>42320.825913089117</v>
      </c>
      <c r="E43" s="11">
        <f t="shared" si="1"/>
        <v>0</v>
      </c>
      <c r="F43" s="11" t="e">
        <f t="shared" si="2"/>
        <v>#NUM!</v>
      </c>
      <c r="G43" s="19">
        <f>$E$4-SUM($E$9:E43)</f>
        <v>0</v>
      </c>
      <c r="H43" s="494"/>
      <c r="I43" s="27"/>
    </row>
    <row r="44" spans="1:9" ht="14.25" thickBot="1" x14ac:dyDescent="0.2">
      <c r="A44" s="27"/>
      <c r="B44" s="490"/>
      <c r="C44" s="12">
        <v>36</v>
      </c>
      <c r="D44" s="21">
        <f t="shared" si="0"/>
        <v>42320.825913089117</v>
      </c>
      <c r="E44" s="11">
        <f t="shared" si="1"/>
        <v>0</v>
      </c>
      <c r="F44" s="11" t="e">
        <f t="shared" si="2"/>
        <v>#NUM!</v>
      </c>
      <c r="G44" s="19">
        <f>$E$4-SUM($E$9:E44)</f>
        <v>0</v>
      </c>
      <c r="H44" s="495"/>
      <c r="I44" s="27"/>
    </row>
    <row r="45" spans="1:9" x14ac:dyDescent="0.15">
      <c r="A45" s="27"/>
      <c r="B45" s="490" t="s">
        <v>131</v>
      </c>
      <c r="C45" s="12">
        <v>37</v>
      </c>
      <c r="D45" s="21">
        <f t="shared" si="0"/>
        <v>42320.825913089117</v>
      </c>
      <c r="E45" s="11">
        <f t="shared" si="1"/>
        <v>0</v>
      </c>
      <c r="F45" s="11" t="e">
        <f t="shared" si="2"/>
        <v>#NUM!</v>
      </c>
      <c r="G45" s="19">
        <f>$E$4-SUM($E$9:E45)</f>
        <v>0</v>
      </c>
      <c r="H45" s="496">
        <f>+G56</f>
        <v>0</v>
      </c>
      <c r="I45" s="27"/>
    </row>
    <row r="46" spans="1:9" x14ac:dyDescent="0.15">
      <c r="A46" s="27"/>
      <c r="B46" s="490"/>
      <c r="C46" s="12">
        <v>38</v>
      </c>
      <c r="D46" s="21">
        <f t="shared" si="0"/>
        <v>42320.825913089117</v>
      </c>
      <c r="E46" s="11">
        <f t="shared" si="1"/>
        <v>0</v>
      </c>
      <c r="F46" s="11" t="e">
        <f t="shared" si="2"/>
        <v>#NUM!</v>
      </c>
      <c r="G46" s="19">
        <f>$E$4-SUM($E$9:E46)</f>
        <v>0</v>
      </c>
      <c r="H46" s="494"/>
      <c r="I46" s="27"/>
    </row>
    <row r="47" spans="1:9" x14ac:dyDescent="0.15">
      <c r="A47" s="27"/>
      <c r="B47" s="490"/>
      <c r="C47" s="12">
        <v>39</v>
      </c>
      <c r="D47" s="21">
        <f t="shared" si="0"/>
        <v>42320.825913089117</v>
      </c>
      <c r="E47" s="11">
        <f t="shared" si="1"/>
        <v>0</v>
      </c>
      <c r="F47" s="11" t="e">
        <f t="shared" si="2"/>
        <v>#NUM!</v>
      </c>
      <c r="G47" s="19">
        <f>$E$4-SUM($E$9:E47)</f>
        <v>0</v>
      </c>
      <c r="H47" s="494"/>
      <c r="I47" s="27"/>
    </row>
    <row r="48" spans="1:9" x14ac:dyDescent="0.15">
      <c r="A48" s="27"/>
      <c r="B48" s="490"/>
      <c r="C48" s="12">
        <v>40</v>
      </c>
      <c r="D48" s="21">
        <f t="shared" si="0"/>
        <v>42320.825913089117</v>
      </c>
      <c r="E48" s="11">
        <f t="shared" si="1"/>
        <v>0</v>
      </c>
      <c r="F48" s="11" t="e">
        <f t="shared" si="2"/>
        <v>#NUM!</v>
      </c>
      <c r="G48" s="19">
        <f>$E$4-SUM($E$9:E48)</f>
        <v>0</v>
      </c>
      <c r="H48" s="494"/>
      <c r="I48" s="27"/>
    </row>
    <row r="49" spans="1:9" x14ac:dyDescent="0.15">
      <c r="A49" s="27"/>
      <c r="B49" s="490"/>
      <c r="C49" s="12">
        <v>41</v>
      </c>
      <c r="D49" s="21">
        <f t="shared" si="0"/>
        <v>42320.825913089117</v>
      </c>
      <c r="E49" s="11">
        <f t="shared" si="1"/>
        <v>0</v>
      </c>
      <c r="F49" s="11" t="e">
        <f t="shared" si="2"/>
        <v>#NUM!</v>
      </c>
      <c r="G49" s="19">
        <f>$E$4-SUM($E$9:E49)</f>
        <v>0</v>
      </c>
      <c r="H49" s="494"/>
      <c r="I49" s="27"/>
    </row>
    <row r="50" spans="1:9" x14ac:dyDescent="0.15">
      <c r="A50" s="27"/>
      <c r="B50" s="490"/>
      <c r="C50" s="12">
        <v>42</v>
      </c>
      <c r="D50" s="21">
        <f t="shared" si="0"/>
        <v>42320.825913089117</v>
      </c>
      <c r="E50" s="11">
        <f t="shared" si="1"/>
        <v>0</v>
      </c>
      <c r="F50" s="11" t="e">
        <f t="shared" si="2"/>
        <v>#NUM!</v>
      </c>
      <c r="G50" s="19">
        <f>$E$4-SUM($E$9:E50)</f>
        <v>0</v>
      </c>
      <c r="H50" s="494"/>
      <c r="I50" s="27"/>
    </row>
    <row r="51" spans="1:9" x14ac:dyDescent="0.15">
      <c r="A51" s="27"/>
      <c r="B51" s="490"/>
      <c r="C51" s="12">
        <v>43</v>
      </c>
      <c r="D51" s="21">
        <f t="shared" si="0"/>
        <v>42320.825913089117</v>
      </c>
      <c r="E51" s="11">
        <f t="shared" si="1"/>
        <v>0</v>
      </c>
      <c r="F51" s="11" t="e">
        <f t="shared" si="2"/>
        <v>#NUM!</v>
      </c>
      <c r="G51" s="19">
        <f>$E$4-SUM($E$9:E51)</f>
        <v>0</v>
      </c>
      <c r="H51" s="494"/>
      <c r="I51" s="27"/>
    </row>
    <row r="52" spans="1:9" x14ac:dyDescent="0.15">
      <c r="A52" s="27"/>
      <c r="B52" s="490"/>
      <c r="C52" s="12">
        <v>44</v>
      </c>
      <c r="D52" s="21">
        <f t="shared" si="0"/>
        <v>42320.825913089117</v>
      </c>
      <c r="E52" s="11">
        <f t="shared" si="1"/>
        <v>0</v>
      </c>
      <c r="F52" s="11" t="e">
        <f t="shared" si="2"/>
        <v>#NUM!</v>
      </c>
      <c r="G52" s="19">
        <f>$E$4-SUM($E$9:E52)</f>
        <v>0</v>
      </c>
      <c r="H52" s="494"/>
      <c r="I52" s="27"/>
    </row>
    <row r="53" spans="1:9" x14ac:dyDescent="0.15">
      <c r="A53" s="27"/>
      <c r="B53" s="490"/>
      <c r="C53" s="12">
        <v>45</v>
      </c>
      <c r="D53" s="21">
        <f t="shared" si="0"/>
        <v>42320.825913089117</v>
      </c>
      <c r="E53" s="11">
        <f t="shared" si="1"/>
        <v>0</v>
      </c>
      <c r="F53" s="11" t="e">
        <f t="shared" si="2"/>
        <v>#NUM!</v>
      </c>
      <c r="G53" s="19">
        <f>$E$4-SUM($E$9:E53)</f>
        <v>0</v>
      </c>
      <c r="H53" s="494"/>
      <c r="I53" s="27"/>
    </row>
    <row r="54" spans="1:9" x14ac:dyDescent="0.15">
      <c r="A54" s="27"/>
      <c r="B54" s="490"/>
      <c r="C54" s="12">
        <v>46</v>
      </c>
      <c r="D54" s="21">
        <f t="shared" si="0"/>
        <v>42320.825913089117</v>
      </c>
      <c r="E54" s="11">
        <f t="shared" si="1"/>
        <v>0</v>
      </c>
      <c r="F54" s="11" t="e">
        <f t="shared" si="2"/>
        <v>#NUM!</v>
      </c>
      <c r="G54" s="19">
        <f>$E$4-SUM($E$9:E54)</f>
        <v>0</v>
      </c>
      <c r="H54" s="494"/>
      <c r="I54" s="27"/>
    </row>
    <row r="55" spans="1:9" x14ac:dyDescent="0.15">
      <c r="A55" s="27"/>
      <c r="B55" s="490"/>
      <c r="C55" s="12">
        <v>47</v>
      </c>
      <c r="D55" s="21">
        <f t="shared" si="0"/>
        <v>42320.825913089117</v>
      </c>
      <c r="E55" s="11">
        <f t="shared" si="1"/>
        <v>0</v>
      </c>
      <c r="F55" s="11" t="e">
        <f t="shared" si="2"/>
        <v>#NUM!</v>
      </c>
      <c r="G55" s="19">
        <f>$E$4-SUM($E$9:E55)</f>
        <v>0</v>
      </c>
      <c r="H55" s="494"/>
      <c r="I55" s="27"/>
    </row>
    <row r="56" spans="1:9" ht="14.25" thickBot="1" x14ac:dyDescent="0.2">
      <c r="A56" s="27"/>
      <c r="B56" s="490"/>
      <c r="C56" s="12">
        <v>48</v>
      </c>
      <c r="D56" s="21">
        <f t="shared" si="0"/>
        <v>42320.825913089117</v>
      </c>
      <c r="E56" s="11">
        <f t="shared" si="1"/>
        <v>0</v>
      </c>
      <c r="F56" s="11" t="e">
        <f t="shared" si="2"/>
        <v>#NUM!</v>
      </c>
      <c r="G56" s="19">
        <f>$E$4-SUM($E$9:E56)</f>
        <v>0</v>
      </c>
      <c r="H56" s="495"/>
      <c r="I56" s="27"/>
    </row>
    <row r="57" spans="1:9" x14ac:dyDescent="0.15">
      <c r="A57" s="27"/>
      <c r="B57" s="490" t="s">
        <v>132</v>
      </c>
      <c r="C57" s="12">
        <v>49</v>
      </c>
      <c r="D57" s="21">
        <f t="shared" si="0"/>
        <v>42320.825913089117</v>
      </c>
      <c r="E57" s="11">
        <f t="shared" si="1"/>
        <v>0</v>
      </c>
      <c r="F57" s="11" t="e">
        <f t="shared" si="2"/>
        <v>#NUM!</v>
      </c>
      <c r="G57" s="19">
        <f>$E$4-SUM($E$9:E57)</f>
        <v>0</v>
      </c>
      <c r="H57" s="496">
        <f>+G68</f>
        <v>0</v>
      </c>
      <c r="I57" s="27"/>
    </row>
    <row r="58" spans="1:9" x14ac:dyDescent="0.15">
      <c r="A58" s="27"/>
      <c r="B58" s="490"/>
      <c r="C58" s="12">
        <v>50</v>
      </c>
      <c r="D58" s="21">
        <f t="shared" si="0"/>
        <v>42320.825913089117</v>
      </c>
      <c r="E58" s="11">
        <f t="shared" si="1"/>
        <v>0</v>
      </c>
      <c r="F58" s="11" t="e">
        <f t="shared" si="2"/>
        <v>#NUM!</v>
      </c>
      <c r="G58" s="19">
        <f>$E$4-SUM($E$9:E58)</f>
        <v>0</v>
      </c>
      <c r="H58" s="494"/>
      <c r="I58" s="27"/>
    </row>
    <row r="59" spans="1:9" x14ac:dyDescent="0.15">
      <c r="A59" s="27"/>
      <c r="B59" s="490"/>
      <c r="C59" s="12">
        <v>51</v>
      </c>
      <c r="D59" s="21">
        <f t="shared" si="0"/>
        <v>42320.825913089117</v>
      </c>
      <c r="E59" s="11">
        <f t="shared" si="1"/>
        <v>0</v>
      </c>
      <c r="F59" s="11" t="e">
        <f t="shared" si="2"/>
        <v>#NUM!</v>
      </c>
      <c r="G59" s="19">
        <f>$E$4-SUM($E$9:E59)</f>
        <v>0</v>
      </c>
      <c r="H59" s="494"/>
      <c r="I59" s="27"/>
    </row>
    <row r="60" spans="1:9" x14ac:dyDescent="0.15">
      <c r="A60" s="27"/>
      <c r="B60" s="490"/>
      <c r="C60" s="12">
        <v>52</v>
      </c>
      <c r="D60" s="21">
        <f t="shared" si="0"/>
        <v>42320.825913089117</v>
      </c>
      <c r="E60" s="11">
        <f t="shared" si="1"/>
        <v>0</v>
      </c>
      <c r="F60" s="11" t="e">
        <f t="shared" si="2"/>
        <v>#NUM!</v>
      </c>
      <c r="G60" s="19">
        <f>$E$4-SUM($E$9:E60)</f>
        <v>0</v>
      </c>
      <c r="H60" s="494"/>
      <c r="I60" s="27"/>
    </row>
    <row r="61" spans="1:9" x14ac:dyDescent="0.15">
      <c r="A61" s="27"/>
      <c r="B61" s="490"/>
      <c r="C61" s="12">
        <v>53</v>
      </c>
      <c r="D61" s="21">
        <f t="shared" si="0"/>
        <v>42320.825913089117</v>
      </c>
      <c r="E61" s="11">
        <f t="shared" si="1"/>
        <v>0</v>
      </c>
      <c r="F61" s="11" t="e">
        <f t="shared" si="2"/>
        <v>#NUM!</v>
      </c>
      <c r="G61" s="19">
        <f>$E$4-SUM($E$9:E61)</f>
        <v>0</v>
      </c>
      <c r="H61" s="494"/>
      <c r="I61" s="27"/>
    </row>
    <row r="62" spans="1:9" x14ac:dyDescent="0.15">
      <c r="A62" s="27"/>
      <c r="B62" s="490"/>
      <c r="C62" s="12">
        <v>54</v>
      </c>
      <c r="D62" s="21">
        <f t="shared" si="0"/>
        <v>42320.825913089117</v>
      </c>
      <c r="E62" s="11">
        <f t="shared" si="1"/>
        <v>0</v>
      </c>
      <c r="F62" s="11" t="e">
        <f t="shared" si="2"/>
        <v>#NUM!</v>
      </c>
      <c r="G62" s="19">
        <f>$E$4-SUM($E$9:E62)</f>
        <v>0</v>
      </c>
      <c r="H62" s="494"/>
      <c r="I62" s="27"/>
    </row>
    <row r="63" spans="1:9" x14ac:dyDescent="0.15">
      <c r="A63" s="27"/>
      <c r="B63" s="490"/>
      <c r="C63" s="12">
        <v>55</v>
      </c>
      <c r="D63" s="21">
        <f t="shared" si="0"/>
        <v>42320.825913089117</v>
      </c>
      <c r="E63" s="11">
        <f t="shared" si="1"/>
        <v>0</v>
      </c>
      <c r="F63" s="11" t="e">
        <f t="shared" si="2"/>
        <v>#NUM!</v>
      </c>
      <c r="G63" s="19">
        <f>$E$4-SUM($E$9:E63)</f>
        <v>0</v>
      </c>
      <c r="H63" s="494"/>
      <c r="I63" s="27"/>
    </row>
    <row r="64" spans="1:9" x14ac:dyDescent="0.15">
      <c r="A64" s="27"/>
      <c r="B64" s="490"/>
      <c r="C64" s="12">
        <v>56</v>
      </c>
      <c r="D64" s="21">
        <f t="shared" si="0"/>
        <v>42320.825913089117</v>
      </c>
      <c r="E64" s="11">
        <f t="shared" si="1"/>
        <v>0</v>
      </c>
      <c r="F64" s="11" t="e">
        <f t="shared" si="2"/>
        <v>#NUM!</v>
      </c>
      <c r="G64" s="19">
        <f>$E$4-SUM($E$9:E64)</f>
        <v>0</v>
      </c>
      <c r="H64" s="494"/>
      <c r="I64" s="27"/>
    </row>
    <row r="65" spans="1:9" x14ac:dyDescent="0.15">
      <c r="A65" s="27"/>
      <c r="B65" s="490"/>
      <c r="C65" s="12">
        <v>57</v>
      </c>
      <c r="D65" s="21">
        <f t="shared" si="0"/>
        <v>42320.825913089117</v>
      </c>
      <c r="E65" s="11">
        <f t="shared" si="1"/>
        <v>0</v>
      </c>
      <c r="F65" s="11" t="e">
        <f t="shared" si="2"/>
        <v>#NUM!</v>
      </c>
      <c r="G65" s="19">
        <f>$E$4-SUM($E$9:E65)</f>
        <v>0</v>
      </c>
      <c r="H65" s="494"/>
      <c r="I65" s="27"/>
    </row>
    <row r="66" spans="1:9" x14ac:dyDescent="0.15">
      <c r="A66" s="27"/>
      <c r="B66" s="490"/>
      <c r="C66" s="12">
        <v>58</v>
      </c>
      <c r="D66" s="21">
        <f t="shared" si="0"/>
        <v>42320.825913089117</v>
      </c>
      <c r="E66" s="11">
        <f t="shared" si="1"/>
        <v>0</v>
      </c>
      <c r="F66" s="11" t="e">
        <f t="shared" si="2"/>
        <v>#NUM!</v>
      </c>
      <c r="G66" s="19">
        <f>$E$4-SUM($E$9:E66)</f>
        <v>0</v>
      </c>
      <c r="H66" s="494"/>
      <c r="I66" s="27"/>
    </row>
    <row r="67" spans="1:9" x14ac:dyDescent="0.15">
      <c r="A67" s="27"/>
      <c r="B67" s="490"/>
      <c r="C67" s="12">
        <v>59</v>
      </c>
      <c r="D67" s="21">
        <f t="shared" si="0"/>
        <v>42320.825913089117</v>
      </c>
      <c r="E67" s="11">
        <f t="shared" si="1"/>
        <v>0</v>
      </c>
      <c r="F67" s="11" t="e">
        <f t="shared" si="2"/>
        <v>#NUM!</v>
      </c>
      <c r="G67" s="19">
        <f>$E$4-SUM($E$9:E67)</f>
        <v>0</v>
      </c>
      <c r="H67" s="494"/>
      <c r="I67" s="27"/>
    </row>
    <row r="68" spans="1:9" ht="14.25" thickBot="1" x14ac:dyDescent="0.2">
      <c r="A68" s="27"/>
      <c r="B68" s="490"/>
      <c r="C68" s="12">
        <v>60</v>
      </c>
      <c r="D68" s="21">
        <f t="shared" si="0"/>
        <v>42320.825913089117</v>
      </c>
      <c r="E68" s="11">
        <f t="shared" si="1"/>
        <v>0</v>
      </c>
      <c r="F68" s="11" t="e">
        <f t="shared" si="2"/>
        <v>#NUM!</v>
      </c>
      <c r="G68" s="19">
        <f>$E$4-SUM($E$9:E68)</f>
        <v>0</v>
      </c>
      <c r="H68" s="495"/>
      <c r="I68" s="27"/>
    </row>
    <row r="69" spans="1:9" x14ac:dyDescent="0.15">
      <c r="A69" s="27"/>
      <c r="B69" s="490" t="s">
        <v>133</v>
      </c>
      <c r="C69" s="12">
        <v>61</v>
      </c>
      <c r="D69" s="21">
        <f t="shared" si="0"/>
        <v>42320.825913089117</v>
      </c>
      <c r="E69" s="11">
        <f t="shared" si="1"/>
        <v>0</v>
      </c>
      <c r="F69" s="11" t="e">
        <f t="shared" si="2"/>
        <v>#NUM!</v>
      </c>
      <c r="G69" s="19">
        <f>$E$4-SUM($E$9:E69)</f>
        <v>0</v>
      </c>
      <c r="H69" s="496">
        <f>+G80</f>
        <v>0</v>
      </c>
      <c r="I69" s="27"/>
    </row>
    <row r="70" spans="1:9" x14ac:dyDescent="0.15">
      <c r="A70" s="27"/>
      <c r="B70" s="490"/>
      <c r="C70" s="12">
        <v>62</v>
      </c>
      <c r="D70" s="21">
        <f t="shared" si="0"/>
        <v>42320.825913089117</v>
      </c>
      <c r="E70" s="11">
        <f t="shared" si="1"/>
        <v>0</v>
      </c>
      <c r="F70" s="11" t="e">
        <f t="shared" si="2"/>
        <v>#NUM!</v>
      </c>
      <c r="G70" s="19">
        <f>$E$4-SUM($E$9:E70)</f>
        <v>0</v>
      </c>
      <c r="H70" s="494"/>
      <c r="I70" s="27"/>
    </row>
    <row r="71" spans="1:9" x14ac:dyDescent="0.15">
      <c r="A71" s="27"/>
      <c r="B71" s="490"/>
      <c r="C71" s="12">
        <v>63</v>
      </c>
      <c r="D71" s="21">
        <f t="shared" si="0"/>
        <v>42320.825913089117</v>
      </c>
      <c r="E71" s="11">
        <f t="shared" si="1"/>
        <v>0</v>
      </c>
      <c r="F71" s="11" t="e">
        <f t="shared" si="2"/>
        <v>#NUM!</v>
      </c>
      <c r="G71" s="19">
        <f>$E$4-SUM($E$9:E71)</f>
        <v>0</v>
      </c>
      <c r="H71" s="494"/>
      <c r="I71" s="27"/>
    </row>
    <row r="72" spans="1:9" x14ac:dyDescent="0.15">
      <c r="A72" s="27"/>
      <c r="B72" s="490"/>
      <c r="C72" s="12">
        <v>64</v>
      </c>
      <c r="D72" s="21">
        <f t="shared" si="0"/>
        <v>42320.825913089117</v>
      </c>
      <c r="E72" s="11">
        <f t="shared" si="1"/>
        <v>0</v>
      </c>
      <c r="F72" s="11" t="e">
        <f t="shared" si="2"/>
        <v>#NUM!</v>
      </c>
      <c r="G72" s="19">
        <f>$E$4-SUM($E$9:E72)</f>
        <v>0</v>
      </c>
      <c r="H72" s="494"/>
      <c r="I72" s="27"/>
    </row>
    <row r="73" spans="1:9" x14ac:dyDescent="0.15">
      <c r="A73" s="27"/>
      <c r="B73" s="490"/>
      <c r="C73" s="12">
        <v>65</v>
      </c>
      <c r="D73" s="21">
        <f t="shared" si="0"/>
        <v>42320.825913089117</v>
      </c>
      <c r="E73" s="11">
        <f t="shared" si="1"/>
        <v>0</v>
      </c>
      <c r="F73" s="11" t="e">
        <f t="shared" si="2"/>
        <v>#NUM!</v>
      </c>
      <c r="G73" s="19">
        <f>$E$4-SUM($E$9:E73)</f>
        <v>0</v>
      </c>
      <c r="H73" s="494"/>
      <c r="I73" s="27"/>
    </row>
    <row r="74" spans="1:9" x14ac:dyDescent="0.15">
      <c r="A74" s="27"/>
      <c r="B74" s="490"/>
      <c r="C74" s="12">
        <v>66</v>
      </c>
      <c r="D74" s="21">
        <f t="shared" ref="D74:D137" si="3">$E$7</f>
        <v>42320.825913089117</v>
      </c>
      <c r="E74" s="11">
        <f t="shared" ref="E74:E137" si="4">IF($H$4&gt;C74-1,-PPMT($G$4/12,$C74,$H$4,$E$4),0)</f>
        <v>0</v>
      </c>
      <c r="F74" s="11" t="e">
        <f t="shared" ref="F74:F137" si="5">-IPMT($G$4/12,$C74,$H$4,$E$4)</f>
        <v>#NUM!</v>
      </c>
      <c r="G74" s="19">
        <f>$E$4-SUM($E$9:E74)</f>
        <v>0</v>
      </c>
      <c r="H74" s="494"/>
      <c r="I74" s="27"/>
    </row>
    <row r="75" spans="1:9" x14ac:dyDescent="0.15">
      <c r="A75" s="27"/>
      <c r="B75" s="490"/>
      <c r="C75" s="12">
        <v>67</v>
      </c>
      <c r="D75" s="21">
        <f t="shared" si="3"/>
        <v>42320.825913089117</v>
      </c>
      <c r="E75" s="11">
        <f t="shared" si="4"/>
        <v>0</v>
      </c>
      <c r="F75" s="11" t="e">
        <f t="shared" si="5"/>
        <v>#NUM!</v>
      </c>
      <c r="G75" s="19">
        <f>$E$4-SUM($E$9:E75)</f>
        <v>0</v>
      </c>
      <c r="H75" s="494"/>
      <c r="I75" s="27"/>
    </row>
    <row r="76" spans="1:9" x14ac:dyDescent="0.15">
      <c r="A76" s="27"/>
      <c r="B76" s="490"/>
      <c r="C76" s="12">
        <v>68</v>
      </c>
      <c r="D76" s="21">
        <f t="shared" si="3"/>
        <v>42320.825913089117</v>
      </c>
      <c r="E76" s="11">
        <f t="shared" si="4"/>
        <v>0</v>
      </c>
      <c r="F76" s="11" t="e">
        <f t="shared" si="5"/>
        <v>#NUM!</v>
      </c>
      <c r="G76" s="19">
        <f>$E$4-SUM($E$9:E76)</f>
        <v>0</v>
      </c>
      <c r="H76" s="494"/>
      <c r="I76" s="27"/>
    </row>
    <row r="77" spans="1:9" x14ac:dyDescent="0.15">
      <c r="A77" s="27"/>
      <c r="B77" s="490"/>
      <c r="C77" s="12">
        <v>69</v>
      </c>
      <c r="D77" s="21">
        <f t="shared" si="3"/>
        <v>42320.825913089117</v>
      </c>
      <c r="E77" s="11">
        <f t="shared" si="4"/>
        <v>0</v>
      </c>
      <c r="F77" s="11" t="e">
        <f t="shared" si="5"/>
        <v>#NUM!</v>
      </c>
      <c r="G77" s="19">
        <f>$E$4-SUM($E$9:E77)</f>
        <v>0</v>
      </c>
      <c r="H77" s="494"/>
      <c r="I77" s="27"/>
    </row>
    <row r="78" spans="1:9" x14ac:dyDescent="0.15">
      <c r="A78" s="27"/>
      <c r="B78" s="490"/>
      <c r="C78" s="12">
        <v>70</v>
      </c>
      <c r="D78" s="21">
        <f t="shared" si="3"/>
        <v>42320.825913089117</v>
      </c>
      <c r="E78" s="11">
        <f t="shared" si="4"/>
        <v>0</v>
      </c>
      <c r="F78" s="11" t="e">
        <f t="shared" si="5"/>
        <v>#NUM!</v>
      </c>
      <c r="G78" s="19">
        <f>$E$4-SUM($E$9:E78)</f>
        <v>0</v>
      </c>
      <c r="H78" s="494"/>
      <c r="I78" s="27"/>
    </row>
    <row r="79" spans="1:9" x14ac:dyDescent="0.15">
      <c r="A79" s="27"/>
      <c r="B79" s="490"/>
      <c r="C79" s="12">
        <v>71</v>
      </c>
      <c r="D79" s="21">
        <f t="shared" si="3"/>
        <v>42320.825913089117</v>
      </c>
      <c r="E79" s="11">
        <f t="shared" si="4"/>
        <v>0</v>
      </c>
      <c r="F79" s="11" t="e">
        <f t="shared" si="5"/>
        <v>#NUM!</v>
      </c>
      <c r="G79" s="19">
        <f>$E$4-SUM($E$9:E79)</f>
        <v>0</v>
      </c>
      <c r="H79" s="494"/>
      <c r="I79" s="27"/>
    </row>
    <row r="80" spans="1:9" ht="14.25" thickBot="1" x14ac:dyDescent="0.2">
      <c r="A80" s="27"/>
      <c r="B80" s="490"/>
      <c r="C80" s="12">
        <v>72</v>
      </c>
      <c r="D80" s="21">
        <f t="shared" si="3"/>
        <v>42320.825913089117</v>
      </c>
      <c r="E80" s="11">
        <f t="shared" si="4"/>
        <v>0</v>
      </c>
      <c r="F80" s="11" t="e">
        <f t="shared" si="5"/>
        <v>#NUM!</v>
      </c>
      <c r="G80" s="19">
        <f>$E$4-SUM($E$9:E80)</f>
        <v>0</v>
      </c>
      <c r="H80" s="495"/>
      <c r="I80" s="27"/>
    </row>
    <row r="81" spans="1:9" x14ac:dyDescent="0.15">
      <c r="A81" s="27"/>
      <c r="B81" s="490" t="s">
        <v>134</v>
      </c>
      <c r="C81" s="12">
        <v>73</v>
      </c>
      <c r="D81" s="21">
        <f t="shared" si="3"/>
        <v>42320.825913089117</v>
      </c>
      <c r="E81" s="11">
        <f t="shared" si="4"/>
        <v>0</v>
      </c>
      <c r="F81" s="11" t="e">
        <f t="shared" si="5"/>
        <v>#NUM!</v>
      </c>
      <c r="G81" s="19">
        <f>$E$4-SUM($E$9:E81)</f>
        <v>0</v>
      </c>
      <c r="H81" s="496">
        <f>+G92</f>
        <v>0</v>
      </c>
      <c r="I81" s="27"/>
    </row>
    <row r="82" spans="1:9" x14ac:dyDescent="0.15">
      <c r="A82" s="27"/>
      <c r="B82" s="490"/>
      <c r="C82" s="12">
        <v>74</v>
      </c>
      <c r="D82" s="21">
        <f t="shared" si="3"/>
        <v>42320.825913089117</v>
      </c>
      <c r="E82" s="11">
        <f t="shared" si="4"/>
        <v>0</v>
      </c>
      <c r="F82" s="11" t="e">
        <f t="shared" si="5"/>
        <v>#NUM!</v>
      </c>
      <c r="G82" s="19">
        <f>$E$4-SUM($E$9:E82)</f>
        <v>0</v>
      </c>
      <c r="H82" s="494"/>
      <c r="I82" s="27"/>
    </row>
    <row r="83" spans="1:9" x14ac:dyDescent="0.15">
      <c r="A83" s="27"/>
      <c r="B83" s="490"/>
      <c r="C83" s="12">
        <v>75</v>
      </c>
      <c r="D83" s="21">
        <f t="shared" si="3"/>
        <v>42320.825913089117</v>
      </c>
      <c r="E83" s="11">
        <f t="shared" si="4"/>
        <v>0</v>
      </c>
      <c r="F83" s="11" t="e">
        <f t="shared" si="5"/>
        <v>#NUM!</v>
      </c>
      <c r="G83" s="19">
        <f>$E$4-SUM($E$9:E83)</f>
        <v>0</v>
      </c>
      <c r="H83" s="494"/>
      <c r="I83" s="27"/>
    </row>
    <row r="84" spans="1:9" x14ac:dyDescent="0.15">
      <c r="A84" s="27"/>
      <c r="B84" s="490"/>
      <c r="C84" s="12">
        <v>76</v>
      </c>
      <c r="D84" s="21">
        <f t="shared" si="3"/>
        <v>42320.825913089117</v>
      </c>
      <c r="E84" s="11">
        <f t="shared" si="4"/>
        <v>0</v>
      </c>
      <c r="F84" s="11" t="e">
        <f t="shared" si="5"/>
        <v>#NUM!</v>
      </c>
      <c r="G84" s="19">
        <f>$E$4-SUM($E$9:E84)</f>
        <v>0</v>
      </c>
      <c r="H84" s="494"/>
      <c r="I84" s="27"/>
    </row>
    <row r="85" spans="1:9" x14ac:dyDescent="0.15">
      <c r="A85" s="27"/>
      <c r="B85" s="490"/>
      <c r="C85" s="12">
        <v>77</v>
      </c>
      <c r="D85" s="21">
        <f t="shared" si="3"/>
        <v>42320.825913089117</v>
      </c>
      <c r="E85" s="11">
        <f t="shared" si="4"/>
        <v>0</v>
      </c>
      <c r="F85" s="11" t="e">
        <f t="shared" si="5"/>
        <v>#NUM!</v>
      </c>
      <c r="G85" s="19">
        <f>$E$4-SUM($E$9:E85)</f>
        <v>0</v>
      </c>
      <c r="H85" s="494"/>
      <c r="I85" s="27"/>
    </row>
    <row r="86" spans="1:9" x14ac:dyDescent="0.15">
      <c r="A86" s="27"/>
      <c r="B86" s="490"/>
      <c r="C86" s="12">
        <v>78</v>
      </c>
      <c r="D86" s="21">
        <f t="shared" si="3"/>
        <v>42320.825913089117</v>
      </c>
      <c r="E86" s="11">
        <f t="shared" si="4"/>
        <v>0</v>
      </c>
      <c r="F86" s="11" t="e">
        <f t="shared" si="5"/>
        <v>#NUM!</v>
      </c>
      <c r="G86" s="19">
        <f>$E$4-SUM($E$9:E86)</f>
        <v>0</v>
      </c>
      <c r="H86" s="494"/>
      <c r="I86" s="27"/>
    </row>
    <row r="87" spans="1:9" x14ac:dyDescent="0.15">
      <c r="A87" s="27"/>
      <c r="B87" s="490"/>
      <c r="C87" s="12">
        <v>79</v>
      </c>
      <c r="D87" s="21">
        <f t="shared" si="3"/>
        <v>42320.825913089117</v>
      </c>
      <c r="E87" s="11">
        <f t="shared" si="4"/>
        <v>0</v>
      </c>
      <c r="F87" s="11" t="e">
        <f t="shared" si="5"/>
        <v>#NUM!</v>
      </c>
      <c r="G87" s="19">
        <f>$E$4-SUM($E$9:E87)</f>
        <v>0</v>
      </c>
      <c r="H87" s="494"/>
      <c r="I87" s="27"/>
    </row>
    <row r="88" spans="1:9" x14ac:dyDescent="0.15">
      <c r="A88" s="27"/>
      <c r="B88" s="490"/>
      <c r="C88" s="12">
        <v>80</v>
      </c>
      <c r="D88" s="21">
        <f t="shared" si="3"/>
        <v>42320.825913089117</v>
      </c>
      <c r="E88" s="11">
        <f t="shared" si="4"/>
        <v>0</v>
      </c>
      <c r="F88" s="11" t="e">
        <f t="shared" si="5"/>
        <v>#NUM!</v>
      </c>
      <c r="G88" s="19">
        <f>$E$4-SUM($E$9:E88)</f>
        <v>0</v>
      </c>
      <c r="H88" s="494"/>
      <c r="I88" s="27"/>
    </row>
    <row r="89" spans="1:9" x14ac:dyDescent="0.15">
      <c r="A89" s="27"/>
      <c r="B89" s="490"/>
      <c r="C89" s="12">
        <v>81</v>
      </c>
      <c r="D89" s="21">
        <f t="shared" si="3"/>
        <v>42320.825913089117</v>
      </c>
      <c r="E89" s="11">
        <f t="shared" si="4"/>
        <v>0</v>
      </c>
      <c r="F89" s="11" t="e">
        <f t="shared" si="5"/>
        <v>#NUM!</v>
      </c>
      <c r="G89" s="19">
        <f>$E$4-SUM($E$9:E89)</f>
        <v>0</v>
      </c>
      <c r="H89" s="494"/>
      <c r="I89" s="27"/>
    </row>
    <row r="90" spans="1:9" x14ac:dyDescent="0.15">
      <c r="A90" s="27"/>
      <c r="B90" s="490"/>
      <c r="C90" s="12">
        <v>82</v>
      </c>
      <c r="D90" s="21">
        <f t="shared" si="3"/>
        <v>42320.825913089117</v>
      </c>
      <c r="E90" s="11">
        <f t="shared" si="4"/>
        <v>0</v>
      </c>
      <c r="F90" s="11" t="e">
        <f t="shared" si="5"/>
        <v>#NUM!</v>
      </c>
      <c r="G90" s="19">
        <f>$E$4-SUM($E$9:E90)</f>
        <v>0</v>
      </c>
      <c r="H90" s="494"/>
      <c r="I90" s="27"/>
    </row>
    <row r="91" spans="1:9" x14ac:dyDescent="0.15">
      <c r="A91" s="27"/>
      <c r="B91" s="490"/>
      <c r="C91" s="12">
        <v>83</v>
      </c>
      <c r="D91" s="21">
        <f t="shared" si="3"/>
        <v>42320.825913089117</v>
      </c>
      <c r="E91" s="11">
        <f t="shared" si="4"/>
        <v>0</v>
      </c>
      <c r="F91" s="11" t="e">
        <f t="shared" si="5"/>
        <v>#NUM!</v>
      </c>
      <c r="G91" s="19">
        <f>$E$4-SUM($E$9:E91)</f>
        <v>0</v>
      </c>
      <c r="H91" s="494"/>
      <c r="I91" s="27"/>
    </row>
    <row r="92" spans="1:9" ht="14.25" thickBot="1" x14ac:dyDescent="0.2">
      <c r="A92" s="27"/>
      <c r="B92" s="490"/>
      <c r="C92" s="12">
        <v>84</v>
      </c>
      <c r="D92" s="21">
        <f t="shared" si="3"/>
        <v>42320.825913089117</v>
      </c>
      <c r="E92" s="11">
        <f t="shared" si="4"/>
        <v>0</v>
      </c>
      <c r="F92" s="11" t="e">
        <f t="shared" si="5"/>
        <v>#NUM!</v>
      </c>
      <c r="G92" s="19">
        <f>$E$4-SUM($E$9:E92)</f>
        <v>0</v>
      </c>
      <c r="H92" s="495"/>
      <c r="I92" s="27"/>
    </row>
    <row r="93" spans="1:9" x14ac:dyDescent="0.15">
      <c r="A93" s="27"/>
      <c r="B93" s="490" t="s">
        <v>135</v>
      </c>
      <c r="C93" s="12">
        <v>85</v>
      </c>
      <c r="D93" s="21">
        <f t="shared" si="3"/>
        <v>42320.825913089117</v>
      </c>
      <c r="E93" s="11">
        <f t="shared" si="4"/>
        <v>0</v>
      </c>
      <c r="F93" s="11" t="e">
        <f t="shared" si="5"/>
        <v>#NUM!</v>
      </c>
      <c r="G93" s="19">
        <f>$E$4-SUM($E$9:E93)</f>
        <v>0</v>
      </c>
      <c r="H93" s="496">
        <f>+G104</f>
        <v>0</v>
      </c>
      <c r="I93" s="27"/>
    </row>
    <row r="94" spans="1:9" x14ac:dyDescent="0.15">
      <c r="A94" s="27"/>
      <c r="B94" s="490"/>
      <c r="C94" s="12">
        <v>86</v>
      </c>
      <c r="D94" s="21">
        <f t="shared" si="3"/>
        <v>42320.825913089117</v>
      </c>
      <c r="E94" s="11">
        <f t="shared" si="4"/>
        <v>0</v>
      </c>
      <c r="F94" s="11" t="e">
        <f t="shared" si="5"/>
        <v>#NUM!</v>
      </c>
      <c r="G94" s="19">
        <f>$E$4-SUM($E$9:E94)</f>
        <v>0</v>
      </c>
      <c r="H94" s="494"/>
      <c r="I94" s="27"/>
    </row>
    <row r="95" spans="1:9" x14ac:dyDescent="0.15">
      <c r="A95" s="27"/>
      <c r="B95" s="490"/>
      <c r="C95" s="12">
        <v>87</v>
      </c>
      <c r="D95" s="21">
        <f t="shared" si="3"/>
        <v>42320.825913089117</v>
      </c>
      <c r="E95" s="11">
        <f t="shared" si="4"/>
        <v>0</v>
      </c>
      <c r="F95" s="11" t="e">
        <f t="shared" si="5"/>
        <v>#NUM!</v>
      </c>
      <c r="G95" s="19">
        <f>$E$4-SUM($E$9:E95)</f>
        <v>0</v>
      </c>
      <c r="H95" s="494"/>
      <c r="I95" s="27"/>
    </row>
    <row r="96" spans="1:9" x14ac:dyDescent="0.15">
      <c r="A96" s="27"/>
      <c r="B96" s="490"/>
      <c r="C96" s="12">
        <v>88</v>
      </c>
      <c r="D96" s="21">
        <f t="shared" si="3"/>
        <v>42320.825913089117</v>
      </c>
      <c r="E96" s="11">
        <f t="shared" si="4"/>
        <v>0</v>
      </c>
      <c r="F96" s="11" t="e">
        <f t="shared" si="5"/>
        <v>#NUM!</v>
      </c>
      <c r="G96" s="19">
        <f>$E$4-SUM($E$9:E96)</f>
        <v>0</v>
      </c>
      <c r="H96" s="494"/>
      <c r="I96" s="27"/>
    </row>
    <row r="97" spans="1:9" x14ac:dyDescent="0.15">
      <c r="A97" s="27"/>
      <c r="B97" s="490"/>
      <c r="C97" s="12">
        <v>89</v>
      </c>
      <c r="D97" s="21">
        <f t="shared" si="3"/>
        <v>42320.825913089117</v>
      </c>
      <c r="E97" s="11">
        <f t="shared" si="4"/>
        <v>0</v>
      </c>
      <c r="F97" s="11" t="e">
        <f t="shared" si="5"/>
        <v>#NUM!</v>
      </c>
      <c r="G97" s="19">
        <f>$E$4-SUM($E$9:E97)</f>
        <v>0</v>
      </c>
      <c r="H97" s="494"/>
      <c r="I97" s="27"/>
    </row>
    <row r="98" spans="1:9" x14ac:dyDescent="0.15">
      <c r="A98" s="27"/>
      <c r="B98" s="490"/>
      <c r="C98" s="12">
        <v>90</v>
      </c>
      <c r="D98" s="21">
        <f t="shared" si="3"/>
        <v>42320.825913089117</v>
      </c>
      <c r="E98" s="11">
        <f t="shared" si="4"/>
        <v>0</v>
      </c>
      <c r="F98" s="11" t="e">
        <f t="shared" si="5"/>
        <v>#NUM!</v>
      </c>
      <c r="G98" s="19">
        <f>$E$4-SUM($E$9:E98)</f>
        <v>0</v>
      </c>
      <c r="H98" s="494"/>
      <c r="I98" s="27"/>
    </row>
    <row r="99" spans="1:9" x14ac:dyDescent="0.15">
      <c r="A99" s="27"/>
      <c r="B99" s="490"/>
      <c r="C99" s="12">
        <v>91</v>
      </c>
      <c r="D99" s="21">
        <f t="shared" si="3"/>
        <v>42320.825913089117</v>
      </c>
      <c r="E99" s="11">
        <f t="shared" si="4"/>
        <v>0</v>
      </c>
      <c r="F99" s="11" t="e">
        <f t="shared" si="5"/>
        <v>#NUM!</v>
      </c>
      <c r="G99" s="19">
        <f>$E$4-SUM($E$9:E99)</f>
        <v>0</v>
      </c>
      <c r="H99" s="494"/>
      <c r="I99" s="27"/>
    </row>
    <row r="100" spans="1:9" x14ac:dyDescent="0.15">
      <c r="A100" s="27"/>
      <c r="B100" s="490"/>
      <c r="C100" s="12">
        <v>92</v>
      </c>
      <c r="D100" s="21">
        <f t="shared" si="3"/>
        <v>42320.825913089117</v>
      </c>
      <c r="E100" s="11">
        <f t="shared" si="4"/>
        <v>0</v>
      </c>
      <c r="F100" s="11" t="e">
        <f t="shared" si="5"/>
        <v>#NUM!</v>
      </c>
      <c r="G100" s="19">
        <f>$E$4-SUM($E$9:E100)</f>
        <v>0</v>
      </c>
      <c r="H100" s="494"/>
      <c r="I100" s="27"/>
    </row>
    <row r="101" spans="1:9" x14ac:dyDescent="0.15">
      <c r="A101" s="27"/>
      <c r="B101" s="490"/>
      <c r="C101" s="12">
        <v>93</v>
      </c>
      <c r="D101" s="21">
        <f t="shared" si="3"/>
        <v>42320.825913089117</v>
      </c>
      <c r="E101" s="11">
        <f t="shared" si="4"/>
        <v>0</v>
      </c>
      <c r="F101" s="11" t="e">
        <f t="shared" si="5"/>
        <v>#NUM!</v>
      </c>
      <c r="G101" s="19">
        <f>$E$4-SUM($E$9:E101)</f>
        <v>0</v>
      </c>
      <c r="H101" s="494"/>
      <c r="I101" s="27"/>
    </row>
    <row r="102" spans="1:9" x14ac:dyDescent="0.15">
      <c r="A102" s="27"/>
      <c r="B102" s="490"/>
      <c r="C102" s="12">
        <v>94</v>
      </c>
      <c r="D102" s="21">
        <f t="shared" si="3"/>
        <v>42320.825913089117</v>
      </c>
      <c r="E102" s="11">
        <f t="shared" si="4"/>
        <v>0</v>
      </c>
      <c r="F102" s="11" t="e">
        <f t="shared" si="5"/>
        <v>#NUM!</v>
      </c>
      <c r="G102" s="19">
        <f>$E$4-SUM($E$9:E102)</f>
        <v>0</v>
      </c>
      <c r="H102" s="494"/>
      <c r="I102" s="27"/>
    </row>
    <row r="103" spans="1:9" x14ac:dyDescent="0.15">
      <c r="A103" s="27"/>
      <c r="B103" s="490"/>
      <c r="C103" s="12">
        <v>95</v>
      </c>
      <c r="D103" s="21">
        <f t="shared" si="3"/>
        <v>42320.825913089117</v>
      </c>
      <c r="E103" s="11">
        <f t="shared" si="4"/>
        <v>0</v>
      </c>
      <c r="F103" s="11" t="e">
        <f t="shared" si="5"/>
        <v>#NUM!</v>
      </c>
      <c r="G103" s="19">
        <f>$E$4-SUM($E$9:E103)</f>
        <v>0</v>
      </c>
      <c r="H103" s="494"/>
      <c r="I103" s="27"/>
    </row>
    <row r="104" spans="1:9" ht="14.25" thickBot="1" x14ac:dyDescent="0.2">
      <c r="A104" s="27"/>
      <c r="B104" s="490"/>
      <c r="C104" s="12">
        <v>96</v>
      </c>
      <c r="D104" s="21">
        <f t="shared" si="3"/>
        <v>42320.825913089117</v>
      </c>
      <c r="E104" s="11">
        <f t="shared" si="4"/>
        <v>0</v>
      </c>
      <c r="F104" s="11" t="e">
        <f t="shared" si="5"/>
        <v>#NUM!</v>
      </c>
      <c r="G104" s="19">
        <f>$E$4-SUM($E$9:E104)</f>
        <v>0</v>
      </c>
      <c r="H104" s="495"/>
      <c r="I104" s="27"/>
    </row>
    <row r="105" spans="1:9" x14ac:dyDescent="0.15">
      <c r="A105" s="27"/>
      <c r="B105" s="490" t="s">
        <v>136</v>
      </c>
      <c r="C105" s="12">
        <v>97</v>
      </c>
      <c r="D105" s="21">
        <f t="shared" si="3"/>
        <v>42320.825913089117</v>
      </c>
      <c r="E105" s="11">
        <f t="shared" si="4"/>
        <v>0</v>
      </c>
      <c r="F105" s="11" t="e">
        <f t="shared" si="5"/>
        <v>#NUM!</v>
      </c>
      <c r="G105" s="19">
        <f>$E$4-SUM($E$9:E105)</f>
        <v>0</v>
      </c>
      <c r="H105" s="496">
        <f>+G116</f>
        <v>0</v>
      </c>
      <c r="I105" s="27"/>
    </row>
    <row r="106" spans="1:9" x14ac:dyDescent="0.15">
      <c r="A106" s="27"/>
      <c r="B106" s="490"/>
      <c r="C106" s="12">
        <v>98</v>
      </c>
      <c r="D106" s="21">
        <f t="shared" si="3"/>
        <v>42320.825913089117</v>
      </c>
      <c r="E106" s="11">
        <f t="shared" si="4"/>
        <v>0</v>
      </c>
      <c r="F106" s="11" t="e">
        <f t="shared" si="5"/>
        <v>#NUM!</v>
      </c>
      <c r="G106" s="19">
        <f>$E$4-SUM($E$9:E106)</f>
        <v>0</v>
      </c>
      <c r="H106" s="494"/>
      <c r="I106" s="27"/>
    </row>
    <row r="107" spans="1:9" x14ac:dyDescent="0.15">
      <c r="A107" s="27"/>
      <c r="B107" s="490"/>
      <c r="C107" s="12">
        <v>99</v>
      </c>
      <c r="D107" s="21">
        <f t="shared" si="3"/>
        <v>42320.825913089117</v>
      </c>
      <c r="E107" s="11">
        <f t="shared" si="4"/>
        <v>0</v>
      </c>
      <c r="F107" s="11" t="e">
        <f t="shared" si="5"/>
        <v>#NUM!</v>
      </c>
      <c r="G107" s="19">
        <f>$E$4-SUM($E$9:E107)</f>
        <v>0</v>
      </c>
      <c r="H107" s="494"/>
      <c r="I107" s="27"/>
    </row>
    <row r="108" spans="1:9" x14ac:dyDescent="0.15">
      <c r="A108" s="27"/>
      <c r="B108" s="490"/>
      <c r="C108" s="12">
        <v>100</v>
      </c>
      <c r="D108" s="21">
        <f t="shared" si="3"/>
        <v>42320.825913089117</v>
      </c>
      <c r="E108" s="11">
        <f t="shared" si="4"/>
        <v>0</v>
      </c>
      <c r="F108" s="11" t="e">
        <f t="shared" si="5"/>
        <v>#NUM!</v>
      </c>
      <c r="G108" s="19">
        <f>$E$4-SUM($E$9:E108)</f>
        <v>0</v>
      </c>
      <c r="H108" s="494"/>
      <c r="I108" s="27"/>
    </row>
    <row r="109" spans="1:9" x14ac:dyDescent="0.15">
      <c r="A109" s="27"/>
      <c r="B109" s="490"/>
      <c r="C109" s="12">
        <v>101</v>
      </c>
      <c r="D109" s="21">
        <f t="shared" si="3"/>
        <v>42320.825913089117</v>
      </c>
      <c r="E109" s="11">
        <f t="shared" si="4"/>
        <v>0</v>
      </c>
      <c r="F109" s="11" t="e">
        <f t="shared" si="5"/>
        <v>#NUM!</v>
      </c>
      <c r="G109" s="19">
        <f>$E$4-SUM($E$9:E109)</f>
        <v>0</v>
      </c>
      <c r="H109" s="494"/>
      <c r="I109" s="27"/>
    </row>
    <row r="110" spans="1:9" x14ac:dyDescent="0.15">
      <c r="A110" s="27"/>
      <c r="B110" s="490"/>
      <c r="C110" s="12">
        <v>102</v>
      </c>
      <c r="D110" s="21">
        <f t="shared" si="3"/>
        <v>42320.825913089117</v>
      </c>
      <c r="E110" s="11">
        <f t="shared" si="4"/>
        <v>0</v>
      </c>
      <c r="F110" s="11" t="e">
        <f t="shared" si="5"/>
        <v>#NUM!</v>
      </c>
      <c r="G110" s="19">
        <f>$E$4-SUM($E$9:E110)</f>
        <v>0</v>
      </c>
      <c r="H110" s="494"/>
      <c r="I110" s="27"/>
    </row>
    <row r="111" spans="1:9" x14ac:dyDescent="0.15">
      <c r="A111" s="27"/>
      <c r="B111" s="490"/>
      <c r="C111" s="12">
        <v>103</v>
      </c>
      <c r="D111" s="21">
        <f t="shared" si="3"/>
        <v>42320.825913089117</v>
      </c>
      <c r="E111" s="11">
        <f t="shared" si="4"/>
        <v>0</v>
      </c>
      <c r="F111" s="11" t="e">
        <f t="shared" si="5"/>
        <v>#NUM!</v>
      </c>
      <c r="G111" s="19">
        <f>$E$4-SUM($E$9:E111)</f>
        <v>0</v>
      </c>
      <c r="H111" s="494"/>
      <c r="I111" s="27"/>
    </row>
    <row r="112" spans="1:9" x14ac:dyDescent="0.15">
      <c r="A112" s="27"/>
      <c r="B112" s="490"/>
      <c r="C112" s="12">
        <v>104</v>
      </c>
      <c r="D112" s="21">
        <f t="shared" si="3"/>
        <v>42320.825913089117</v>
      </c>
      <c r="E112" s="11">
        <f t="shared" si="4"/>
        <v>0</v>
      </c>
      <c r="F112" s="11" t="e">
        <f t="shared" si="5"/>
        <v>#NUM!</v>
      </c>
      <c r="G112" s="19">
        <f>$E$4-SUM($E$9:E112)</f>
        <v>0</v>
      </c>
      <c r="H112" s="494"/>
      <c r="I112" s="27"/>
    </row>
    <row r="113" spans="1:9" x14ac:dyDescent="0.15">
      <c r="A113" s="27"/>
      <c r="B113" s="490"/>
      <c r="C113" s="12">
        <v>105</v>
      </c>
      <c r="D113" s="21">
        <f t="shared" si="3"/>
        <v>42320.825913089117</v>
      </c>
      <c r="E113" s="11">
        <f t="shared" si="4"/>
        <v>0</v>
      </c>
      <c r="F113" s="11" t="e">
        <f t="shared" si="5"/>
        <v>#NUM!</v>
      </c>
      <c r="G113" s="19">
        <f>$E$4-SUM($E$9:E113)</f>
        <v>0</v>
      </c>
      <c r="H113" s="494"/>
      <c r="I113" s="27"/>
    </row>
    <row r="114" spans="1:9" x14ac:dyDescent="0.15">
      <c r="A114" s="27"/>
      <c r="B114" s="490"/>
      <c r="C114" s="12">
        <v>106</v>
      </c>
      <c r="D114" s="21">
        <f t="shared" si="3"/>
        <v>42320.825913089117</v>
      </c>
      <c r="E114" s="11">
        <f t="shared" si="4"/>
        <v>0</v>
      </c>
      <c r="F114" s="11" t="e">
        <f t="shared" si="5"/>
        <v>#NUM!</v>
      </c>
      <c r="G114" s="19">
        <f>$E$4-SUM($E$9:E114)</f>
        <v>0</v>
      </c>
      <c r="H114" s="494"/>
      <c r="I114" s="27"/>
    </row>
    <row r="115" spans="1:9" x14ac:dyDescent="0.15">
      <c r="A115" s="27"/>
      <c r="B115" s="490"/>
      <c r="C115" s="12">
        <v>107</v>
      </c>
      <c r="D115" s="21">
        <f t="shared" si="3"/>
        <v>42320.825913089117</v>
      </c>
      <c r="E115" s="11">
        <f t="shared" si="4"/>
        <v>0</v>
      </c>
      <c r="F115" s="11" t="e">
        <f t="shared" si="5"/>
        <v>#NUM!</v>
      </c>
      <c r="G115" s="19">
        <f>$E$4-SUM($E$9:E115)</f>
        <v>0</v>
      </c>
      <c r="H115" s="494"/>
      <c r="I115" s="27"/>
    </row>
    <row r="116" spans="1:9" ht="14.25" thickBot="1" x14ac:dyDescent="0.2">
      <c r="A116" s="27"/>
      <c r="B116" s="490"/>
      <c r="C116" s="12">
        <v>108</v>
      </c>
      <c r="D116" s="21">
        <f t="shared" si="3"/>
        <v>42320.825913089117</v>
      </c>
      <c r="E116" s="11">
        <f t="shared" si="4"/>
        <v>0</v>
      </c>
      <c r="F116" s="11" t="e">
        <f t="shared" si="5"/>
        <v>#NUM!</v>
      </c>
      <c r="G116" s="19">
        <f>$E$4-SUM($E$9:E116)</f>
        <v>0</v>
      </c>
      <c r="H116" s="495"/>
      <c r="I116" s="27"/>
    </row>
    <row r="117" spans="1:9" x14ac:dyDescent="0.15">
      <c r="A117" s="27"/>
      <c r="B117" s="490" t="s">
        <v>137</v>
      </c>
      <c r="C117" s="12">
        <v>109</v>
      </c>
      <c r="D117" s="21">
        <f t="shared" si="3"/>
        <v>42320.825913089117</v>
      </c>
      <c r="E117" s="11">
        <f t="shared" si="4"/>
        <v>0</v>
      </c>
      <c r="F117" s="11" t="e">
        <f t="shared" si="5"/>
        <v>#NUM!</v>
      </c>
      <c r="G117" s="19">
        <f>$E$4-SUM($E$9:E117)</f>
        <v>0</v>
      </c>
      <c r="H117" s="496">
        <f>+G128</f>
        <v>0</v>
      </c>
      <c r="I117" s="27"/>
    </row>
    <row r="118" spans="1:9" x14ac:dyDescent="0.15">
      <c r="A118" s="27"/>
      <c r="B118" s="490"/>
      <c r="C118" s="12">
        <v>110</v>
      </c>
      <c r="D118" s="21">
        <f t="shared" si="3"/>
        <v>42320.825913089117</v>
      </c>
      <c r="E118" s="11">
        <f t="shared" si="4"/>
        <v>0</v>
      </c>
      <c r="F118" s="11" t="e">
        <f t="shared" si="5"/>
        <v>#NUM!</v>
      </c>
      <c r="G118" s="19">
        <f>$E$4-SUM($E$9:E118)</f>
        <v>0</v>
      </c>
      <c r="H118" s="494"/>
      <c r="I118" s="27"/>
    </row>
    <row r="119" spans="1:9" x14ac:dyDescent="0.15">
      <c r="A119" s="27"/>
      <c r="B119" s="490"/>
      <c r="C119" s="12">
        <v>111</v>
      </c>
      <c r="D119" s="21">
        <f t="shared" si="3"/>
        <v>42320.825913089117</v>
      </c>
      <c r="E119" s="11">
        <f t="shared" si="4"/>
        <v>0</v>
      </c>
      <c r="F119" s="11" t="e">
        <f t="shared" si="5"/>
        <v>#NUM!</v>
      </c>
      <c r="G119" s="19">
        <f>$E$4-SUM($E$9:E119)</f>
        <v>0</v>
      </c>
      <c r="H119" s="494"/>
      <c r="I119" s="27"/>
    </row>
    <row r="120" spans="1:9" x14ac:dyDescent="0.15">
      <c r="A120" s="27"/>
      <c r="B120" s="490"/>
      <c r="C120" s="12">
        <v>112</v>
      </c>
      <c r="D120" s="21">
        <f t="shared" si="3"/>
        <v>42320.825913089117</v>
      </c>
      <c r="E120" s="11">
        <f t="shared" si="4"/>
        <v>0</v>
      </c>
      <c r="F120" s="11" t="e">
        <f t="shared" si="5"/>
        <v>#NUM!</v>
      </c>
      <c r="G120" s="19">
        <f>$E$4-SUM($E$9:E120)</f>
        <v>0</v>
      </c>
      <c r="H120" s="494"/>
      <c r="I120" s="27"/>
    </row>
    <row r="121" spans="1:9" x14ac:dyDescent="0.15">
      <c r="A121" s="27"/>
      <c r="B121" s="490"/>
      <c r="C121" s="12">
        <v>113</v>
      </c>
      <c r="D121" s="21">
        <f t="shared" si="3"/>
        <v>42320.825913089117</v>
      </c>
      <c r="E121" s="11">
        <f t="shared" si="4"/>
        <v>0</v>
      </c>
      <c r="F121" s="11" t="e">
        <f t="shared" si="5"/>
        <v>#NUM!</v>
      </c>
      <c r="G121" s="19">
        <f>$E$4-SUM($E$9:E121)</f>
        <v>0</v>
      </c>
      <c r="H121" s="494"/>
      <c r="I121" s="27"/>
    </row>
    <row r="122" spans="1:9" x14ac:dyDescent="0.15">
      <c r="A122" s="27"/>
      <c r="B122" s="490"/>
      <c r="C122" s="12">
        <v>114</v>
      </c>
      <c r="D122" s="21">
        <f t="shared" si="3"/>
        <v>42320.825913089117</v>
      </c>
      <c r="E122" s="11">
        <f t="shared" si="4"/>
        <v>0</v>
      </c>
      <c r="F122" s="11" t="e">
        <f t="shared" si="5"/>
        <v>#NUM!</v>
      </c>
      <c r="G122" s="19">
        <f>$E$4-SUM($E$9:E122)</f>
        <v>0</v>
      </c>
      <c r="H122" s="494"/>
      <c r="I122" s="27"/>
    </row>
    <row r="123" spans="1:9" x14ac:dyDescent="0.15">
      <c r="A123" s="27"/>
      <c r="B123" s="490"/>
      <c r="C123" s="12">
        <v>115</v>
      </c>
      <c r="D123" s="21">
        <f t="shared" si="3"/>
        <v>42320.825913089117</v>
      </c>
      <c r="E123" s="11">
        <f t="shared" si="4"/>
        <v>0</v>
      </c>
      <c r="F123" s="11" t="e">
        <f t="shared" si="5"/>
        <v>#NUM!</v>
      </c>
      <c r="G123" s="19">
        <f>$E$4-SUM($E$9:E123)</f>
        <v>0</v>
      </c>
      <c r="H123" s="494"/>
      <c r="I123" s="27"/>
    </row>
    <row r="124" spans="1:9" x14ac:dyDescent="0.15">
      <c r="A124" s="27"/>
      <c r="B124" s="490"/>
      <c r="C124" s="12">
        <v>116</v>
      </c>
      <c r="D124" s="21">
        <f t="shared" si="3"/>
        <v>42320.825913089117</v>
      </c>
      <c r="E124" s="11">
        <f t="shared" si="4"/>
        <v>0</v>
      </c>
      <c r="F124" s="11" t="e">
        <f t="shared" si="5"/>
        <v>#NUM!</v>
      </c>
      <c r="G124" s="19">
        <f>$E$4-SUM($E$9:E124)</f>
        <v>0</v>
      </c>
      <c r="H124" s="494"/>
      <c r="I124" s="27"/>
    </row>
    <row r="125" spans="1:9" x14ac:dyDescent="0.15">
      <c r="A125" s="27"/>
      <c r="B125" s="490"/>
      <c r="C125" s="12">
        <v>117</v>
      </c>
      <c r="D125" s="21">
        <f t="shared" si="3"/>
        <v>42320.825913089117</v>
      </c>
      <c r="E125" s="11">
        <f t="shared" si="4"/>
        <v>0</v>
      </c>
      <c r="F125" s="11" t="e">
        <f t="shared" si="5"/>
        <v>#NUM!</v>
      </c>
      <c r="G125" s="19">
        <f>$E$4-SUM($E$9:E125)</f>
        <v>0</v>
      </c>
      <c r="H125" s="494"/>
      <c r="I125" s="27"/>
    </row>
    <row r="126" spans="1:9" x14ac:dyDescent="0.15">
      <c r="A126" s="27"/>
      <c r="B126" s="490"/>
      <c r="C126" s="12">
        <v>118</v>
      </c>
      <c r="D126" s="21">
        <f t="shared" si="3"/>
        <v>42320.825913089117</v>
      </c>
      <c r="E126" s="11">
        <f t="shared" si="4"/>
        <v>0</v>
      </c>
      <c r="F126" s="11" t="e">
        <f t="shared" si="5"/>
        <v>#NUM!</v>
      </c>
      <c r="G126" s="19">
        <f>$E$4-SUM($E$9:E126)</f>
        <v>0</v>
      </c>
      <c r="H126" s="494"/>
      <c r="I126" s="27"/>
    </row>
    <row r="127" spans="1:9" x14ac:dyDescent="0.15">
      <c r="A127" s="27"/>
      <c r="B127" s="490"/>
      <c r="C127" s="12">
        <v>119</v>
      </c>
      <c r="D127" s="21">
        <f t="shared" si="3"/>
        <v>42320.825913089117</v>
      </c>
      <c r="E127" s="11">
        <f t="shared" si="4"/>
        <v>0</v>
      </c>
      <c r="F127" s="11" t="e">
        <f t="shared" si="5"/>
        <v>#NUM!</v>
      </c>
      <c r="G127" s="19">
        <f>$E$4-SUM($E$9:E127)</f>
        <v>0</v>
      </c>
      <c r="H127" s="494"/>
      <c r="I127" s="27"/>
    </row>
    <row r="128" spans="1:9" ht="14.25" thickBot="1" x14ac:dyDescent="0.2">
      <c r="A128" s="27"/>
      <c r="B128" s="490"/>
      <c r="C128" s="12">
        <v>120</v>
      </c>
      <c r="D128" s="21">
        <f t="shared" si="3"/>
        <v>42320.825913089117</v>
      </c>
      <c r="E128" s="11">
        <f t="shared" si="4"/>
        <v>0</v>
      </c>
      <c r="F128" s="11" t="e">
        <f t="shared" si="5"/>
        <v>#NUM!</v>
      </c>
      <c r="G128" s="19">
        <f>$E$4-SUM($E$9:E128)</f>
        <v>0</v>
      </c>
      <c r="H128" s="495"/>
      <c r="I128" s="27"/>
    </row>
    <row r="129" spans="1:9" x14ac:dyDescent="0.15">
      <c r="A129" s="27"/>
      <c r="B129" s="490" t="s">
        <v>138</v>
      </c>
      <c r="C129" s="12">
        <v>121</v>
      </c>
      <c r="D129" s="21">
        <f t="shared" si="3"/>
        <v>42320.825913089117</v>
      </c>
      <c r="E129" s="11">
        <f t="shared" si="4"/>
        <v>0</v>
      </c>
      <c r="F129" s="11" t="e">
        <f t="shared" si="5"/>
        <v>#NUM!</v>
      </c>
      <c r="G129" s="19">
        <f>$E$4-SUM($E$9:E129)</f>
        <v>0</v>
      </c>
      <c r="H129" s="496">
        <f>+G140</f>
        <v>0</v>
      </c>
      <c r="I129" s="27"/>
    </row>
    <row r="130" spans="1:9" x14ac:dyDescent="0.15">
      <c r="A130" s="27"/>
      <c r="B130" s="490"/>
      <c r="C130" s="12">
        <v>122</v>
      </c>
      <c r="D130" s="21">
        <f t="shared" si="3"/>
        <v>42320.825913089117</v>
      </c>
      <c r="E130" s="11">
        <f t="shared" si="4"/>
        <v>0</v>
      </c>
      <c r="F130" s="11" t="e">
        <f t="shared" si="5"/>
        <v>#NUM!</v>
      </c>
      <c r="G130" s="19">
        <f>$E$4-SUM($E$9:E130)</f>
        <v>0</v>
      </c>
      <c r="H130" s="494"/>
      <c r="I130" s="27"/>
    </row>
    <row r="131" spans="1:9" x14ac:dyDescent="0.15">
      <c r="A131" s="27"/>
      <c r="B131" s="490"/>
      <c r="C131" s="12">
        <v>123</v>
      </c>
      <c r="D131" s="21">
        <f t="shared" si="3"/>
        <v>42320.825913089117</v>
      </c>
      <c r="E131" s="11">
        <f t="shared" si="4"/>
        <v>0</v>
      </c>
      <c r="F131" s="11" t="e">
        <f t="shared" si="5"/>
        <v>#NUM!</v>
      </c>
      <c r="G131" s="19">
        <f>$E$4-SUM($E$9:E131)</f>
        <v>0</v>
      </c>
      <c r="H131" s="494"/>
      <c r="I131" s="27"/>
    </row>
    <row r="132" spans="1:9" x14ac:dyDescent="0.15">
      <c r="A132" s="27"/>
      <c r="B132" s="490"/>
      <c r="C132" s="12">
        <v>124</v>
      </c>
      <c r="D132" s="21">
        <f t="shared" si="3"/>
        <v>42320.825913089117</v>
      </c>
      <c r="E132" s="11">
        <f t="shared" si="4"/>
        <v>0</v>
      </c>
      <c r="F132" s="11" t="e">
        <f t="shared" si="5"/>
        <v>#NUM!</v>
      </c>
      <c r="G132" s="19">
        <f>$E$4-SUM($E$9:E132)</f>
        <v>0</v>
      </c>
      <c r="H132" s="494"/>
      <c r="I132" s="27"/>
    </row>
    <row r="133" spans="1:9" x14ac:dyDescent="0.15">
      <c r="A133" s="27"/>
      <c r="B133" s="490"/>
      <c r="C133" s="12">
        <v>125</v>
      </c>
      <c r="D133" s="21">
        <f t="shared" si="3"/>
        <v>42320.825913089117</v>
      </c>
      <c r="E133" s="11">
        <f t="shared" si="4"/>
        <v>0</v>
      </c>
      <c r="F133" s="11" t="e">
        <f t="shared" si="5"/>
        <v>#NUM!</v>
      </c>
      <c r="G133" s="19">
        <f>$E$4-SUM($E$9:E133)</f>
        <v>0</v>
      </c>
      <c r="H133" s="494"/>
      <c r="I133" s="27"/>
    </row>
    <row r="134" spans="1:9" x14ac:dyDescent="0.15">
      <c r="A134" s="27"/>
      <c r="B134" s="490"/>
      <c r="C134" s="12">
        <v>126</v>
      </c>
      <c r="D134" s="21">
        <f t="shared" si="3"/>
        <v>42320.825913089117</v>
      </c>
      <c r="E134" s="11">
        <f t="shared" si="4"/>
        <v>0</v>
      </c>
      <c r="F134" s="11" t="e">
        <f t="shared" si="5"/>
        <v>#NUM!</v>
      </c>
      <c r="G134" s="19">
        <f>$E$4-SUM($E$9:E134)</f>
        <v>0</v>
      </c>
      <c r="H134" s="494"/>
      <c r="I134" s="27"/>
    </row>
    <row r="135" spans="1:9" x14ac:dyDescent="0.15">
      <c r="A135" s="27"/>
      <c r="B135" s="490"/>
      <c r="C135" s="12">
        <v>127</v>
      </c>
      <c r="D135" s="21">
        <f t="shared" si="3"/>
        <v>42320.825913089117</v>
      </c>
      <c r="E135" s="11">
        <f t="shared" si="4"/>
        <v>0</v>
      </c>
      <c r="F135" s="11" t="e">
        <f t="shared" si="5"/>
        <v>#NUM!</v>
      </c>
      <c r="G135" s="19">
        <f>$E$4-SUM($E$9:E135)</f>
        <v>0</v>
      </c>
      <c r="H135" s="494"/>
      <c r="I135" s="27"/>
    </row>
    <row r="136" spans="1:9" x14ac:dyDescent="0.15">
      <c r="A136" s="27"/>
      <c r="B136" s="490"/>
      <c r="C136" s="12">
        <v>128</v>
      </c>
      <c r="D136" s="21">
        <f t="shared" si="3"/>
        <v>42320.825913089117</v>
      </c>
      <c r="E136" s="11">
        <f t="shared" si="4"/>
        <v>0</v>
      </c>
      <c r="F136" s="11" t="e">
        <f t="shared" si="5"/>
        <v>#NUM!</v>
      </c>
      <c r="G136" s="19">
        <f>$E$4-SUM($E$9:E136)</f>
        <v>0</v>
      </c>
      <c r="H136" s="494"/>
      <c r="I136" s="27"/>
    </row>
    <row r="137" spans="1:9" x14ac:dyDescent="0.15">
      <c r="A137" s="27"/>
      <c r="B137" s="490"/>
      <c r="C137" s="12">
        <v>129</v>
      </c>
      <c r="D137" s="21">
        <f t="shared" si="3"/>
        <v>42320.825913089117</v>
      </c>
      <c r="E137" s="11">
        <f t="shared" si="4"/>
        <v>0</v>
      </c>
      <c r="F137" s="11" t="e">
        <f t="shared" si="5"/>
        <v>#NUM!</v>
      </c>
      <c r="G137" s="19">
        <f>$E$4-SUM($E$9:E137)</f>
        <v>0</v>
      </c>
      <c r="H137" s="494"/>
      <c r="I137" s="27"/>
    </row>
    <row r="138" spans="1:9" x14ac:dyDescent="0.15">
      <c r="A138" s="27"/>
      <c r="B138" s="490"/>
      <c r="C138" s="12">
        <v>130</v>
      </c>
      <c r="D138" s="21">
        <f t="shared" ref="D138:D201" si="6">$E$7</f>
        <v>42320.825913089117</v>
      </c>
      <c r="E138" s="11">
        <f t="shared" ref="E138:E201" si="7">IF($H$4&gt;C138-1,-PPMT($G$4/12,$C138,$H$4,$E$4),0)</f>
        <v>0</v>
      </c>
      <c r="F138" s="11" t="e">
        <f t="shared" ref="F138:F201" si="8">-IPMT($G$4/12,$C138,$H$4,$E$4)</f>
        <v>#NUM!</v>
      </c>
      <c r="G138" s="19">
        <f>$E$4-SUM($E$9:E138)</f>
        <v>0</v>
      </c>
      <c r="H138" s="494"/>
      <c r="I138" s="27"/>
    </row>
    <row r="139" spans="1:9" x14ac:dyDescent="0.15">
      <c r="A139" s="27"/>
      <c r="B139" s="490"/>
      <c r="C139" s="12">
        <v>131</v>
      </c>
      <c r="D139" s="21">
        <f t="shared" si="6"/>
        <v>42320.825913089117</v>
      </c>
      <c r="E139" s="11">
        <f t="shared" si="7"/>
        <v>0</v>
      </c>
      <c r="F139" s="11" t="e">
        <f t="shared" si="8"/>
        <v>#NUM!</v>
      </c>
      <c r="G139" s="19">
        <f>$E$4-SUM($E$9:E139)</f>
        <v>0</v>
      </c>
      <c r="H139" s="494"/>
      <c r="I139" s="27"/>
    </row>
    <row r="140" spans="1:9" ht="14.25" thickBot="1" x14ac:dyDescent="0.2">
      <c r="A140" s="27"/>
      <c r="B140" s="490"/>
      <c r="C140" s="12">
        <v>132</v>
      </c>
      <c r="D140" s="21">
        <f t="shared" si="6"/>
        <v>42320.825913089117</v>
      </c>
      <c r="E140" s="11">
        <f t="shared" si="7"/>
        <v>0</v>
      </c>
      <c r="F140" s="11" t="e">
        <f t="shared" si="8"/>
        <v>#NUM!</v>
      </c>
      <c r="G140" s="19">
        <f>$E$4-SUM($E$9:E140)</f>
        <v>0</v>
      </c>
      <c r="H140" s="495"/>
      <c r="I140" s="27"/>
    </row>
    <row r="141" spans="1:9" x14ac:dyDescent="0.15">
      <c r="A141" s="27"/>
      <c r="B141" s="490" t="s">
        <v>139</v>
      </c>
      <c r="C141" s="12">
        <v>133</v>
      </c>
      <c r="D141" s="21">
        <f t="shared" si="6"/>
        <v>42320.825913089117</v>
      </c>
      <c r="E141" s="11">
        <f t="shared" si="7"/>
        <v>0</v>
      </c>
      <c r="F141" s="11" t="e">
        <f t="shared" si="8"/>
        <v>#NUM!</v>
      </c>
      <c r="G141" s="19">
        <f>$E$4-SUM($E$9:E141)</f>
        <v>0</v>
      </c>
      <c r="H141" s="496">
        <f>+G152</f>
        <v>0</v>
      </c>
      <c r="I141" s="27"/>
    </row>
    <row r="142" spans="1:9" x14ac:dyDescent="0.15">
      <c r="A142" s="27"/>
      <c r="B142" s="490"/>
      <c r="C142" s="12">
        <v>134</v>
      </c>
      <c r="D142" s="21">
        <f t="shared" si="6"/>
        <v>42320.825913089117</v>
      </c>
      <c r="E142" s="11">
        <f t="shared" si="7"/>
        <v>0</v>
      </c>
      <c r="F142" s="11" t="e">
        <f t="shared" si="8"/>
        <v>#NUM!</v>
      </c>
      <c r="G142" s="19">
        <f>$E$4-SUM($E$9:E142)</f>
        <v>0</v>
      </c>
      <c r="H142" s="494"/>
      <c r="I142" s="27"/>
    </row>
    <row r="143" spans="1:9" x14ac:dyDescent="0.15">
      <c r="A143" s="27"/>
      <c r="B143" s="490"/>
      <c r="C143" s="12">
        <v>135</v>
      </c>
      <c r="D143" s="21">
        <f t="shared" si="6"/>
        <v>42320.825913089117</v>
      </c>
      <c r="E143" s="11">
        <f t="shared" si="7"/>
        <v>0</v>
      </c>
      <c r="F143" s="11" t="e">
        <f t="shared" si="8"/>
        <v>#NUM!</v>
      </c>
      <c r="G143" s="19">
        <f>$E$4-SUM($E$9:E143)</f>
        <v>0</v>
      </c>
      <c r="H143" s="494"/>
      <c r="I143" s="27"/>
    </row>
    <row r="144" spans="1:9" x14ac:dyDescent="0.15">
      <c r="A144" s="27"/>
      <c r="B144" s="490"/>
      <c r="C144" s="12">
        <v>136</v>
      </c>
      <c r="D144" s="21">
        <f t="shared" si="6"/>
        <v>42320.825913089117</v>
      </c>
      <c r="E144" s="11">
        <f t="shared" si="7"/>
        <v>0</v>
      </c>
      <c r="F144" s="11" t="e">
        <f t="shared" si="8"/>
        <v>#NUM!</v>
      </c>
      <c r="G144" s="19">
        <f>$E$4-SUM($E$9:E144)</f>
        <v>0</v>
      </c>
      <c r="H144" s="494"/>
      <c r="I144" s="27"/>
    </row>
    <row r="145" spans="1:9" x14ac:dyDescent="0.15">
      <c r="A145" s="27"/>
      <c r="B145" s="490"/>
      <c r="C145" s="12">
        <v>137</v>
      </c>
      <c r="D145" s="21">
        <f t="shared" si="6"/>
        <v>42320.825913089117</v>
      </c>
      <c r="E145" s="11">
        <f t="shared" si="7"/>
        <v>0</v>
      </c>
      <c r="F145" s="11" t="e">
        <f t="shared" si="8"/>
        <v>#NUM!</v>
      </c>
      <c r="G145" s="19">
        <f>$E$4-SUM($E$9:E145)</f>
        <v>0</v>
      </c>
      <c r="H145" s="494"/>
      <c r="I145" s="27"/>
    </row>
    <row r="146" spans="1:9" x14ac:dyDescent="0.15">
      <c r="A146" s="27"/>
      <c r="B146" s="490"/>
      <c r="C146" s="12">
        <v>138</v>
      </c>
      <c r="D146" s="21">
        <f t="shared" si="6"/>
        <v>42320.825913089117</v>
      </c>
      <c r="E146" s="11">
        <f t="shared" si="7"/>
        <v>0</v>
      </c>
      <c r="F146" s="11" t="e">
        <f t="shared" si="8"/>
        <v>#NUM!</v>
      </c>
      <c r="G146" s="19">
        <f>$E$4-SUM($E$9:E146)</f>
        <v>0</v>
      </c>
      <c r="H146" s="494"/>
      <c r="I146" s="27"/>
    </row>
    <row r="147" spans="1:9" x14ac:dyDescent="0.15">
      <c r="A147" s="27"/>
      <c r="B147" s="490"/>
      <c r="C147" s="12">
        <v>139</v>
      </c>
      <c r="D147" s="21">
        <f t="shared" si="6"/>
        <v>42320.825913089117</v>
      </c>
      <c r="E147" s="11">
        <f t="shared" si="7"/>
        <v>0</v>
      </c>
      <c r="F147" s="11" t="e">
        <f t="shared" si="8"/>
        <v>#NUM!</v>
      </c>
      <c r="G147" s="19">
        <f>$E$4-SUM($E$9:E147)</f>
        <v>0</v>
      </c>
      <c r="H147" s="494"/>
      <c r="I147" s="27"/>
    </row>
    <row r="148" spans="1:9" x14ac:dyDescent="0.15">
      <c r="A148" s="27"/>
      <c r="B148" s="490"/>
      <c r="C148" s="12">
        <v>140</v>
      </c>
      <c r="D148" s="21">
        <f t="shared" si="6"/>
        <v>42320.825913089117</v>
      </c>
      <c r="E148" s="11">
        <f t="shared" si="7"/>
        <v>0</v>
      </c>
      <c r="F148" s="11" t="e">
        <f t="shared" si="8"/>
        <v>#NUM!</v>
      </c>
      <c r="G148" s="19">
        <f>$E$4-SUM($E$9:E148)</f>
        <v>0</v>
      </c>
      <c r="H148" s="494"/>
      <c r="I148" s="27"/>
    </row>
    <row r="149" spans="1:9" x14ac:dyDescent="0.15">
      <c r="A149" s="27"/>
      <c r="B149" s="490"/>
      <c r="C149" s="12">
        <v>141</v>
      </c>
      <c r="D149" s="21">
        <f t="shared" si="6"/>
        <v>42320.825913089117</v>
      </c>
      <c r="E149" s="11">
        <f t="shared" si="7"/>
        <v>0</v>
      </c>
      <c r="F149" s="11" t="e">
        <f t="shared" si="8"/>
        <v>#NUM!</v>
      </c>
      <c r="G149" s="19">
        <f>$E$4-SUM($E$9:E149)</f>
        <v>0</v>
      </c>
      <c r="H149" s="494"/>
      <c r="I149" s="27"/>
    </row>
    <row r="150" spans="1:9" x14ac:dyDescent="0.15">
      <c r="A150" s="27"/>
      <c r="B150" s="490"/>
      <c r="C150" s="12">
        <v>142</v>
      </c>
      <c r="D150" s="21">
        <f t="shared" si="6"/>
        <v>42320.825913089117</v>
      </c>
      <c r="E150" s="11">
        <f t="shared" si="7"/>
        <v>0</v>
      </c>
      <c r="F150" s="11" t="e">
        <f t="shared" si="8"/>
        <v>#NUM!</v>
      </c>
      <c r="G150" s="19">
        <f>$E$4-SUM($E$9:E150)</f>
        <v>0</v>
      </c>
      <c r="H150" s="494"/>
      <c r="I150" s="27"/>
    </row>
    <row r="151" spans="1:9" x14ac:dyDescent="0.15">
      <c r="A151" s="27"/>
      <c r="B151" s="490"/>
      <c r="C151" s="12">
        <v>143</v>
      </c>
      <c r="D151" s="21">
        <f t="shared" si="6"/>
        <v>42320.825913089117</v>
      </c>
      <c r="E151" s="11">
        <f t="shared" si="7"/>
        <v>0</v>
      </c>
      <c r="F151" s="11" t="e">
        <f t="shared" si="8"/>
        <v>#NUM!</v>
      </c>
      <c r="G151" s="19">
        <f>$E$4-SUM($E$9:E151)</f>
        <v>0</v>
      </c>
      <c r="H151" s="494"/>
      <c r="I151" s="27"/>
    </row>
    <row r="152" spans="1:9" ht="14.25" thickBot="1" x14ac:dyDescent="0.2">
      <c r="A152" s="27"/>
      <c r="B152" s="490"/>
      <c r="C152" s="12">
        <v>144</v>
      </c>
      <c r="D152" s="21">
        <f t="shared" si="6"/>
        <v>42320.825913089117</v>
      </c>
      <c r="E152" s="11">
        <f t="shared" si="7"/>
        <v>0</v>
      </c>
      <c r="F152" s="11" t="e">
        <f t="shared" si="8"/>
        <v>#NUM!</v>
      </c>
      <c r="G152" s="19">
        <f>$E$4-SUM($E$9:E152)</f>
        <v>0</v>
      </c>
      <c r="H152" s="495"/>
      <c r="I152" s="27"/>
    </row>
    <row r="153" spans="1:9" x14ac:dyDescent="0.15">
      <c r="A153" s="27"/>
      <c r="B153" s="490" t="s">
        <v>140</v>
      </c>
      <c r="C153" s="12">
        <v>145</v>
      </c>
      <c r="D153" s="21">
        <f t="shared" si="6"/>
        <v>42320.825913089117</v>
      </c>
      <c r="E153" s="11">
        <f t="shared" si="7"/>
        <v>0</v>
      </c>
      <c r="F153" s="11" t="e">
        <f t="shared" si="8"/>
        <v>#NUM!</v>
      </c>
      <c r="G153" s="19">
        <f>$E$4-SUM($E$9:E153)</f>
        <v>0</v>
      </c>
      <c r="H153" s="496">
        <f>+G164</f>
        <v>0</v>
      </c>
      <c r="I153" s="27"/>
    </row>
    <row r="154" spans="1:9" x14ac:dyDescent="0.15">
      <c r="A154" s="27"/>
      <c r="B154" s="490"/>
      <c r="C154" s="12">
        <v>146</v>
      </c>
      <c r="D154" s="21">
        <f t="shared" si="6"/>
        <v>42320.825913089117</v>
      </c>
      <c r="E154" s="11">
        <f t="shared" si="7"/>
        <v>0</v>
      </c>
      <c r="F154" s="11" t="e">
        <f t="shared" si="8"/>
        <v>#NUM!</v>
      </c>
      <c r="G154" s="19">
        <f>$E$4-SUM($E$9:E154)</f>
        <v>0</v>
      </c>
      <c r="H154" s="494"/>
      <c r="I154" s="27"/>
    </row>
    <row r="155" spans="1:9" x14ac:dyDescent="0.15">
      <c r="A155" s="27"/>
      <c r="B155" s="490"/>
      <c r="C155" s="12">
        <v>147</v>
      </c>
      <c r="D155" s="21">
        <f t="shared" si="6"/>
        <v>42320.825913089117</v>
      </c>
      <c r="E155" s="11">
        <f t="shared" si="7"/>
        <v>0</v>
      </c>
      <c r="F155" s="11" t="e">
        <f t="shared" si="8"/>
        <v>#NUM!</v>
      </c>
      <c r="G155" s="19">
        <f>$E$4-SUM($E$9:E155)</f>
        <v>0</v>
      </c>
      <c r="H155" s="494"/>
      <c r="I155" s="27"/>
    </row>
    <row r="156" spans="1:9" x14ac:dyDescent="0.15">
      <c r="A156" s="27"/>
      <c r="B156" s="490"/>
      <c r="C156" s="12">
        <v>148</v>
      </c>
      <c r="D156" s="21">
        <f t="shared" si="6"/>
        <v>42320.825913089117</v>
      </c>
      <c r="E156" s="11">
        <f t="shared" si="7"/>
        <v>0</v>
      </c>
      <c r="F156" s="11" t="e">
        <f t="shared" si="8"/>
        <v>#NUM!</v>
      </c>
      <c r="G156" s="19">
        <f>$E$4-SUM($E$9:E156)</f>
        <v>0</v>
      </c>
      <c r="H156" s="494"/>
      <c r="I156" s="27"/>
    </row>
    <row r="157" spans="1:9" x14ac:dyDescent="0.15">
      <c r="A157" s="27"/>
      <c r="B157" s="490"/>
      <c r="C157" s="12">
        <v>149</v>
      </c>
      <c r="D157" s="21">
        <f t="shared" si="6"/>
        <v>42320.825913089117</v>
      </c>
      <c r="E157" s="11">
        <f t="shared" si="7"/>
        <v>0</v>
      </c>
      <c r="F157" s="11" t="e">
        <f t="shared" si="8"/>
        <v>#NUM!</v>
      </c>
      <c r="G157" s="19">
        <f>$E$4-SUM($E$9:E157)</f>
        <v>0</v>
      </c>
      <c r="H157" s="494"/>
      <c r="I157" s="27"/>
    </row>
    <row r="158" spans="1:9" x14ac:dyDescent="0.15">
      <c r="A158" s="27"/>
      <c r="B158" s="490"/>
      <c r="C158" s="12">
        <v>150</v>
      </c>
      <c r="D158" s="21">
        <f t="shared" si="6"/>
        <v>42320.825913089117</v>
      </c>
      <c r="E158" s="11">
        <f t="shared" si="7"/>
        <v>0</v>
      </c>
      <c r="F158" s="11" t="e">
        <f t="shared" si="8"/>
        <v>#NUM!</v>
      </c>
      <c r="G158" s="19">
        <f>$E$4-SUM($E$9:E158)</f>
        <v>0</v>
      </c>
      <c r="H158" s="494"/>
      <c r="I158" s="27"/>
    </row>
    <row r="159" spans="1:9" x14ac:dyDescent="0.15">
      <c r="A159" s="27"/>
      <c r="B159" s="490"/>
      <c r="C159" s="12">
        <v>151</v>
      </c>
      <c r="D159" s="21">
        <f t="shared" si="6"/>
        <v>42320.825913089117</v>
      </c>
      <c r="E159" s="11">
        <f t="shared" si="7"/>
        <v>0</v>
      </c>
      <c r="F159" s="11" t="e">
        <f t="shared" si="8"/>
        <v>#NUM!</v>
      </c>
      <c r="G159" s="19">
        <f>$E$4-SUM($E$9:E159)</f>
        <v>0</v>
      </c>
      <c r="H159" s="494"/>
      <c r="I159" s="27"/>
    </row>
    <row r="160" spans="1:9" x14ac:dyDescent="0.15">
      <c r="A160" s="27"/>
      <c r="B160" s="490"/>
      <c r="C160" s="12">
        <v>152</v>
      </c>
      <c r="D160" s="21">
        <f t="shared" si="6"/>
        <v>42320.825913089117</v>
      </c>
      <c r="E160" s="11">
        <f t="shared" si="7"/>
        <v>0</v>
      </c>
      <c r="F160" s="11" t="e">
        <f t="shared" si="8"/>
        <v>#NUM!</v>
      </c>
      <c r="G160" s="19">
        <f>$E$4-SUM($E$9:E160)</f>
        <v>0</v>
      </c>
      <c r="H160" s="494"/>
      <c r="I160" s="27"/>
    </row>
    <row r="161" spans="1:9" x14ac:dyDescent="0.15">
      <c r="A161" s="27"/>
      <c r="B161" s="490"/>
      <c r="C161" s="12">
        <v>153</v>
      </c>
      <c r="D161" s="21">
        <f t="shared" si="6"/>
        <v>42320.825913089117</v>
      </c>
      <c r="E161" s="11">
        <f t="shared" si="7"/>
        <v>0</v>
      </c>
      <c r="F161" s="11" t="e">
        <f t="shared" si="8"/>
        <v>#NUM!</v>
      </c>
      <c r="G161" s="19">
        <f>$E$4-SUM($E$9:E161)</f>
        <v>0</v>
      </c>
      <c r="H161" s="494"/>
      <c r="I161" s="27"/>
    </row>
    <row r="162" spans="1:9" x14ac:dyDescent="0.15">
      <c r="A162" s="27"/>
      <c r="B162" s="490"/>
      <c r="C162" s="12">
        <v>154</v>
      </c>
      <c r="D162" s="21">
        <f t="shared" si="6"/>
        <v>42320.825913089117</v>
      </c>
      <c r="E162" s="11">
        <f t="shared" si="7"/>
        <v>0</v>
      </c>
      <c r="F162" s="11" t="e">
        <f t="shared" si="8"/>
        <v>#NUM!</v>
      </c>
      <c r="G162" s="19">
        <f>$E$4-SUM($E$9:E162)</f>
        <v>0</v>
      </c>
      <c r="H162" s="494"/>
      <c r="I162" s="27"/>
    </row>
    <row r="163" spans="1:9" x14ac:dyDescent="0.15">
      <c r="A163" s="27"/>
      <c r="B163" s="490"/>
      <c r="C163" s="12">
        <v>155</v>
      </c>
      <c r="D163" s="21">
        <f t="shared" si="6"/>
        <v>42320.825913089117</v>
      </c>
      <c r="E163" s="11">
        <f t="shared" si="7"/>
        <v>0</v>
      </c>
      <c r="F163" s="11" t="e">
        <f t="shared" si="8"/>
        <v>#NUM!</v>
      </c>
      <c r="G163" s="19">
        <f>$E$4-SUM($E$9:E163)</f>
        <v>0</v>
      </c>
      <c r="H163" s="494"/>
      <c r="I163" s="27"/>
    </row>
    <row r="164" spans="1:9" ht="14.25" thickBot="1" x14ac:dyDescent="0.2">
      <c r="A164" s="27"/>
      <c r="B164" s="490"/>
      <c r="C164" s="12">
        <v>156</v>
      </c>
      <c r="D164" s="21">
        <f t="shared" si="6"/>
        <v>42320.825913089117</v>
      </c>
      <c r="E164" s="11">
        <f t="shared" si="7"/>
        <v>0</v>
      </c>
      <c r="F164" s="11" t="e">
        <f t="shared" si="8"/>
        <v>#NUM!</v>
      </c>
      <c r="G164" s="19">
        <f>$E$4-SUM($E$9:E164)</f>
        <v>0</v>
      </c>
      <c r="H164" s="495"/>
      <c r="I164" s="27"/>
    </row>
    <row r="165" spans="1:9" x14ac:dyDescent="0.15">
      <c r="A165" s="27"/>
      <c r="B165" s="490" t="s">
        <v>141</v>
      </c>
      <c r="C165" s="12">
        <v>157</v>
      </c>
      <c r="D165" s="21">
        <f t="shared" si="6"/>
        <v>42320.825913089117</v>
      </c>
      <c r="E165" s="11">
        <f t="shared" si="7"/>
        <v>0</v>
      </c>
      <c r="F165" s="11" t="e">
        <f t="shared" si="8"/>
        <v>#NUM!</v>
      </c>
      <c r="G165" s="19">
        <f>$E$4-SUM($E$9:E165)</f>
        <v>0</v>
      </c>
      <c r="H165" s="496">
        <f>+G176</f>
        <v>0</v>
      </c>
      <c r="I165" s="27"/>
    </row>
    <row r="166" spans="1:9" x14ac:dyDescent="0.15">
      <c r="A166" s="27"/>
      <c r="B166" s="490"/>
      <c r="C166" s="12">
        <v>158</v>
      </c>
      <c r="D166" s="21">
        <f t="shared" si="6"/>
        <v>42320.825913089117</v>
      </c>
      <c r="E166" s="11">
        <f t="shared" si="7"/>
        <v>0</v>
      </c>
      <c r="F166" s="11" t="e">
        <f t="shared" si="8"/>
        <v>#NUM!</v>
      </c>
      <c r="G166" s="19">
        <f>$E$4-SUM($E$9:E166)</f>
        <v>0</v>
      </c>
      <c r="H166" s="494"/>
      <c r="I166" s="27"/>
    </row>
    <row r="167" spans="1:9" x14ac:dyDescent="0.15">
      <c r="A167" s="27"/>
      <c r="B167" s="490"/>
      <c r="C167" s="12">
        <v>159</v>
      </c>
      <c r="D167" s="21">
        <f t="shared" si="6"/>
        <v>42320.825913089117</v>
      </c>
      <c r="E167" s="11">
        <f t="shared" si="7"/>
        <v>0</v>
      </c>
      <c r="F167" s="11" t="e">
        <f t="shared" si="8"/>
        <v>#NUM!</v>
      </c>
      <c r="G167" s="19">
        <f>$E$4-SUM($E$9:E167)</f>
        <v>0</v>
      </c>
      <c r="H167" s="494"/>
      <c r="I167" s="27"/>
    </row>
    <row r="168" spans="1:9" x14ac:dyDescent="0.15">
      <c r="A168" s="27"/>
      <c r="B168" s="490"/>
      <c r="C168" s="12">
        <v>160</v>
      </c>
      <c r="D168" s="21">
        <f t="shared" si="6"/>
        <v>42320.825913089117</v>
      </c>
      <c r="E168" s="11">
        <f t="shared" si="7"/>
        <v>0</v>
      </c>
      <c r="F168" s="11" t="e">
        <f t="shared" si="8"/>
        <v>#NUM!</v>
      </c>
      <c r="G168" s="19">
        <f>$E$4-SUM($E$9:E168)</f>
        <v>0</v>
      </c>
      <c r="H168" s="494"/>
      <c r="I168" s="27"/>
    </row>
    <row r="169" spans="1:9" x14ac:dyDescent="0.15">
      <c r="A169" s="27"/>
      <c r="B169" s="490"/>
      <c r="C169" s="12">
        <v>161</v>
      </c>
      <c r="D169" s="21">
        <f t="shared" si="6"/>
        <v>42320.825913089117</v>
      </c>
      <c r="E169" s="11">
        <f t="shared" si="7"/>
        <v>0</v>
      </c>
      <c r="F169" s="11" t="e">
        <f t="shared" si="8"/>
        <v>#NUM!</v>
      </c>
      <c r="G169" s="19">
        <f>$E$4-SUM($E$9:E169)</f>
        <v>0</v>
      </c>
      <c r="H169" s="494"/>
      <c r="I169" s="27"/>
    </row>
    <row r="170" spans="1:9" x14ac:dyDescent="0.15">
      <c r="A170" s="27"/>
      <c r="B170" s="490"/>
      <c r="C170" s="12">
        <v>162</v>
      </c>
      <c r="D170" s="21">
        <f t="shared" si="6"/>
        <v>42320.825913089117</v>
      </c>
      <c r="E170" s="11">
        <f t="shared" si="7"/>
        <v>0</v>
      </c>
      <c r="F170" s="11" t="e">
        <f t="shared" si="8"/>
        <v>#NUM!</v>
      </c>
      <c r="G170" s="19">
        <f>$E$4-SUM($E$9:E170)</f>
        <v>0</v>
      </c>
      <c r="H170" s="494"/>
      <c r="I170" s="27"/>
    </row>
    <row r="171" spans="1:9" x14ac:dyDescent="0.15">
      <c r="A171" s="27"/>
      <c r="B171" s="490"/>
      <c r="C171" s="12">
        <v>163</v>
      </c>
      <c r="D171" s="21">
        <f t="shared" si="6"/>
        <v>42320.825913089117</v>
      </c>
      <c r="E171" s="11">
        <f t="shared" si="7"/>
        <v>0</v>
      </c>
      <c r="F171" s="11" t="e">
        <f t="shared" si="8"/>
        <v>#NUM!</v>
      </c>
      <c r="G171" s="19">
        <f>$E$4-SUM($E$9:E171)</f>
        <v>0</v>
      </c>
      <c r="H171" s="494"/>
      <c r="I171" s="27"/>
    </row>
    <row r="172" spans="1:9" x14ac:dyDescent="0.15">
      <c r="A172" s="27"/>
      <c r="B172" s="490"/>
      <c r="C172" s="12">
        <v>164</v>
      </c>
      <c r="D172" s="21">
        <f t="shared" si="6"/>
        <v>42320.825913089117</v>
      </c>
      <c r="E172" s="11">
        <f t="shared" si="7"/>
        <v>0</v>
      </c>
      <c r="F172" s="11" t="e">
        <f t="shared" si="8"/>
        <v>#NUM!</v>
      </c>
      <c r="G172" s="19">
        <f>$E$4-SUM($E$9:E172)</f>
        <v>0</v>
      </c>
      <c r="H172" s="494"/>
      <c r="I172" s="27"/>
    </row>
    <row r="173" spans="1:9" x14ac:dyDescent="0.15">
      <c r="A173" s="27"/>
      <c r="B173" s="490"/>
      <c r="C173" s="12">
        <v>165</v>
      </c>
      <c r="D173" s="21">
        <f t="shared" si="6"/>
        <v>42320.825913089117</v>
      </c>
      <c r="E173" s="11">
        <f t="shared" si="7"/>
        <v>0</v>
      </c>
      <c r="F173" s="11" t="e">
        <f t="shared" si="8"/>
        <v>#NUM!</v>
      </c>
      <c r="G173" s="19">
        <f>$E$4-SUM($E$9:E173)</f>
        <v>0</v>
      </c>
      <c r="H173" s="494"/>
      <c r="I173" s="27"/>
    </row>
    <row r="174" spans="1:9" x14ac:dyDescent="0.15">
      <c r="A174" s="27"/>
      <c r="B174" s="490"/>
      <c r="C174" s="12">
        <v>166</v>
      </c>
      <c r="D174" s="21">
        <f t="shared" si="6"/>
        <v>42320.825913089117</v>
      </c>
      <c r="E174" s="11">
        <f t="shared" si="7"/>
        <v>0</v>
      </c>
      <c r="F174" s="11" t="e">
        <f t="shared" si="8"/>
        <v>#NUM!</v>
      </c>
      <c r="G174" s="19">
        <f>$E$4-SUM($E$9:E174)</f>
        <v>0</v>
      </c>
      <c r="H174" s="494"/>
      <c r="I174" s="27"/>
    </row>
    <row r="175" spans="1:9" x14ac:dyDescent="0.15">
      <c r="A175" s="27"/>
      <c r="B175" s="490"/>
      <c r="C175" s="12">
        <v>167</v>
      </c>
      <c r="D175" s="21">
        <f t="shared" si="6"/>
        <v>42320.825913089117</v>
      </c>
      <c r="E175" s="11">
        <f t="shared" si="7"/>
        <v>0</v>
      </c>
      <c r="F175" s="11" t="e">
        <f t="shared" si="8"/>
        <v>#NUM!</v>
      </c>
      <c r="G175" s="19">
        <f>$E$4-SUM($E$9:E175)</f>
        <v>0</v>
      </c>
      <c r="H175" s="494"/>
      <c r="I175" s="27"/>
    </row>
    <row r="176" spans="1:9" ht="14.25" thickBot="1" x14ac:dyDescent="0.2">
      <c r="A176" s="27"/>
      <c r="B176" s="490"/>
      <c r="C176" s="12">
        <v>168</v>
      </c>
      <c r="D176" s="21">
        <f t="shared" si="6"/>
        <v>42320.825913089117</v>
      </c>
      <c r="E176" s="11">
        <f t="shared" si="7"/>
        <v>0</v>
      </c>
      <c r="F176" s="11" t="e">
        <f t="shared" si="8"/>
        <v>#NUM!</v>
      </c>
      <c r="G176" s="19">
        <f>$E$4-SUM($E$9:E176)</f>
        <v>0</v>
      </c>
      <c r="H176" s="495"/>
      <c r="I176" s="27"/>
    </row>
    <row r="177" spans="1:9" x14ac:dyDescent="0.15">
      <c r="A177" s="27"/>
      <c r="B177" s="490" t="s">
        <v>142</v>
      </c>
      <c r="C177" s="12">
        <v>169</v>
      </c>
      <c r="D177" s="21">
        <f t="shared" si="6"/>
        <v>42320.825913089117</v>
      </c>
      <c r="E177" s="11">
        <f t="shared" si="7"/>
        <v>0</v>
      </c>
      <c r="F177" s="11" t="e">
        <f t="shared" si="8"/>
        <v>#NUM!</v>
      </c>
      <c r="G177" s="19">
        <f>$E$4-SUM($E$9:E177)</f>
        <v>0</v>
      </c>
      <c r="H177" s="496">
        <f>+G188</f>
        <v>0</v>
      </c>
      <c r="I177" s="27"/>
    </row>
    <row r="178" spans="1:9" x14ac:dyDescent="0.15">
      <c r="A178" s="27"/>
      <c r="B178" s="490"/>
      <c r="C178" s="12">
        <v>170</v>
      </c>
      <c r="D178" s="21">
        <f t="shared" si="6"/>
        <v>42320.825913089117</v>
      </c>
      <c r="E178" s="11">
        <f t="shared" si="7"/>
        <v>0</v>
      </c>
      <c r="F178" s="11" t="e">
        <f t="shared" si="8"/>
        <v>#NUM!</v>
      </c>
      <c r="G178" s="19">
        <f>$E$4-SUM($E$9:E178)</f>
        <v>0</v>
      </c>
      <c r="H178" s="494"/>
      <c r="I178" s="27"/>
    </row>
    <row r="179" spans="1:9" x14ac:dyDescent="0.15">
      <c r="A179" s="27"/>
      <c r="B179" s="490"/>
      <c r="C179" s="12">
        <v>171</v>
      </c>
      <c r="D179" s="21">
        <f t="shared" si="6"/>
        <v>42320.825913089117</v>
      </c>
      <c r="E179" s="11">
        <f t="shared" si="7"/>
        <v>0</v>
      </c>
      <c r="F179" s="11" t="e">
        <f t="shared" si="8"/>
        <v>#NUM!</v>
      </c>
      <c r="G179" s="19">
        <f>$E$4-SUM($E$9:E179)</f>
        <v>0</v>
      </c>
      <c r="H179" s="494"/>
      <c r="I179" s="27"/>
    </row>
    <row r="180" spans="1:9" x14ac:dyDescent="0.15">
      <c r="A180" s="27"/>
      <c r="B180" s="490"/>
      <c r="C180" s="12">
        <v>172</v>
      </c>
      <c r="D180" s="21">
        <f t="shared" si="6"/>
        <v>42320.825913089117</v>
      </c>
      <c r="E180" s="11">
        <f t="shared" si="7"/>
        <v>0</v>
      </c>
      <c r="F180" s="11" t="e">
        <f t="shared" si="8"/>
        <v>#NUM!</v>
      </c>
      <c r="G180" s="19">
        <f>$E$4-SUM($E$9:E180)</f>
        <v>0</v>
      </c>
      <c r="H180" s="494"/>
      <c r="I180" s="27"/>
    </row>
    <row r="181" spans="1:9" x14ac:dyDescent="0.15">
      <c r="A181" s="27"/>
      <c r="B181" s="490"/>
      <c r="C181" s="12">
        <v>173</v>
      </c>
      <c r="D181" s="21">
        <f t="shared" si="6"/>
        <v>42320.825913089117</v>
      </c>
      <c r="E181" s="11">
        <f t="shared" si="7"/>
        <v>0</v>
      </c>
      <c r="F181" s="11" t="e">
        <f t="shared" si="8"/>
        <v>#NUM!</v>
      </c>
      <c r="G181" s="19">
        <f>$E$4-SUM($E$9:E181)</f>
        <v>0</v>
      </c>
      <c r="H181" s="494"/>
      <c r="I181" s="27"/>
    </row>
    <row r="182" spans="1:9" x14ac:dyDescent="0.15">
      <c r="A182" s="27"/>
      <c r="B182" s="490"/>
      <c r="C182" s="12">
        <v>174</v>
      </c>
      <c r="D182" s="21">
        <f t="shared" si="6"/>
        <v>42320.825913089117</v>
      </c>
      <c r="E182" s="11">
        <f t="shared" si="7"/>
        <v>0</v>
      </c>
      <c r="F182" s="11" t="e">
        <f t="shared" si="8"/>
        <v>#NUM!</v>
      </c>
      <c r="G182" s="19">
        <f>$E$4-SUM($E$9:E182)</f>
        <v>0</v>
      </c>
      <c r="H182" s="494"/>
      <c r="I182" s="27"/>
    </row>
    <row r="183" spans="1:9" x14ac:dyDescent="0.15">
      <c r="A183" s="27"/>
      <c r="B183" s="490"/>
      <c r="C183" s="12">
        <v>175</v>
      </c>
      <c r="D183" s="21">
        <f t="shared" si="6"/>
        <v>42320.825913089117</v>
      </c>
      <c r="E183" s="11">
        <f t="shared" si="7"/>
        <v>0</v>
      </c>
      <c r="F183" s="11" t="e">
        <f t="shared" si="8"/>
        <v>#NUM!</v>
      </c>
      <c r="G183" s="19">
        <f>$E$4-SUM($E$9:E183)</f>
        <v>0</v>
      </c>
      <c r="H183" s="494"/>
      <c r="I183" s="27"/>
    </row>
    <row r="184" spans="1:9" x14ac:dyDescent="0.15">
      <c r="A184" s="27"/>
      <c r="B184" s="490"/>
      <c r="C184" s="12">
        <v>176</v>
      </c>
      <c r="D184" s="21">
        <f t="shared" si="6"/>
        <v>42320.825913089117</v>
      </c>
      <c r="E184" s="11">
        <f t="shared" si="7"/>
        <v>0</v>
      </c>
      <c r="F184" s="11" t="e">
        <f t="shared" si="8"/>
        <v>#NUM!</v>
      </c>
      <c r="G184" s="19">
        <f>$E$4-SUM($E$9:E184)</f>
        <v>0</v>
      </c>
      <c r="H184" s="494"/>
      <c r="I184" s="27"/>
    </row>
    <row r="185" spans="1:9" x14ac:dyDescent="0.15">
      <c r="A185" s="27"/>
      <c r="B185" s="490"/>
      <c r="C185" s="12">
        <v>177</v>
      </c>
      <c r="D185" s="21">
        <f t="shared" si="6"/>
        <v>42320.825913089117</v>
      </c>
      <c r="E185" s="11">
        <f t="shared" si="7"/>
        <v>0</v>
      </c>
      <c r="F185" s="11" t="e">
        <f t="shared" si="8"/>
        <v>#NUM!</v>
      </c>
      <c r="G185" s="19">
        <f>$E$4-SUM($E$9:E185)</f>
        <v>0</v>
      </c>
      <c r="H185" s="494"/>
      <c r="I185" s="27"/>
    </row>
    <row r="186" spans="1:9" x14ac:dyDescent="0.15">
      <c r="A186" s="27"/>
      <c r="B186" s="490"/>
      <c r="C186" s="12">
        <v>178</v>
      </c>
      <c r="D186" s="21">
        <f t="shared" si="6"/>
        <v>42320.825913089117</v>
      </c>
      <c r="E186" s="11">
        <f t="shared" si="7"/>
        <v>0</v>
      </c>
      <c r="F186" s="11" t="e">
        <f t="shared" si="8"/>
        <v>#NUM!</v>
      </c>
      <c r="G186" s="19">
        <f>$E$4-SUM($E$9:E186)</f>
        <v>0</v>
      </c>
      <c r="H186" s="494"/>
      <c r="I186" s="27"/>
    </row>
    <row r="187" spans="1:9" x14ac:dyDescent="0.15">
      <c r="A187" s="27"/>
      <c r="B187" s="490"/>
      <c r="C187" s="12">
        <v>179</v>
      </c>
      <c r="D187" s="21">
        <f t="shared" si="6"/>
        <v>42320.825913089117</v>
      </c>
      <c r="E187" s="11">
        <f t="shared" si="7"/>
        <v>0</v>
      </c>
      <c r="F187" s="11" t="e">
        <f t="shared" si="8"/>
        <v>#NUM!</v>
      </c>
      <c r="G187" s="19">
        <f>$E$4-SUM($E$9:E187)</f>
        <v>0</v>
      </c>
      <c r="H187" s="494"/>
      <c r="I187" s="27"/>
    </row>
    <row r="188" spans="1:9" ht="14.25" thickBot="1" x14ac:dyDescent="0.2">
      <c r="A188" s="27"/>
      <c r="B188" s="490"/>
      <c r="C188" s="12">
        <v>180</v>
      </c>
      <c r="D188" s="21">
        <f t="shared" si="6"/>
        <v>42320.825913089117</v>
      </c>
      <c r="E188" s="11">
        <f t="shared" si="7"/>
        <v>0</v>
      </c>
      <c r="F188" s="11" t="e">
        <f t="shared" si="8"/>
        <v>#NUM!</v>
      </c>
      <c r="G188" s="19">
        <f>$E$4-SUM($E$9:E188)</f>
        <v>0</v>
      </c>
      <c r="H188" s="495"/>
      <c r="I188" s="27"/>
    </row>
    <row r="189" spans="1:9" x14ac:dyDescent="0.15">
      <c r="A189" s="27"/>
      <c r="B189" s="490" t="s">
        <v>143</v>
      </c>
      <c r="C189" s="12">
        <v>181</v>
      </c>
      <c r="D189" s="21">
        <f t="shared" si="6"/>
        <v>42320.825913089117</v>
      </c>
      <c r="E189" s="11">
        <f t="shared" si="7"/>
        <v>0</v>
      </c>
      <c r="F189" s="11" t="e">
        <f t="shared" si="8"/>
        <v>#NUM!</v>
      </c>
      <c r="G189" s="19">
        <f>$E$4-SUM($E$9:E189)</f>
        <v>0</v>
      </c>
      <c r="H189" s="496">
        <f>+G200</f>
        <v>0</v>
      </c>
      <c r="I189" s="27"/>
    </row>
    <row r="190" spans="1:9" x14ac:dyDescent="0.15">
      <c r="A190" s="27"/>
      <c r="B190" s="490"/>
      <c r="C190" s="12">
        <v>182</v>
      </c>
      <c r="D190" s="21">
        <f t="shared" si="6"/>
        <v>42320.825913089117</v>
      </c>
      <c r="E190" s="11">
        <f t="shared" si="7"/>
        <v>0</v>
      </c>
      <c r="F190" s="11" t="e">
        <f t="shared" si="8"/>
        <v>#NUM!</v>
      </c>
      <c r="G190" s="19">
        <f>$E$4-SUM($E$9:E190)</f>
        <v>0</v>
      </c>
      <c r="H190" s="494"/>
      <c r="I190" s="27"/>
    </row>
    <row r="191" spans="1:9" x14ac:dyDescent="0.15">
      <c r="A191" s="27"/>
      <c r="B191" s="490"/>
      <c r="C191" s="12">
        <v>183</v>
      </c>
      <c r="D191" s="21">
        <f t="shared" si="6"/>
        <v>42320.825913089117</v>
      </c>
      <c r="E191" s="11">
        <f t="shared" si="7"/>
        <v>0</v>
      </c>
      <c r="F191" s="11" t="e">
        <f t="shared" si="8"/>
        <v>#NUM!</v>
      </c>
      <c r="G191" s="19">
        <f>$E$4-SUM($E$9:E191)</f>
        <v>0</v>
      </c>
      <c r="H191" s="494"/>
      <c r="I191" s="27"/>
    </row>
    <row r="192" spans="1:9" x14ac:dyDescent="0.15">
      <c r="A192" s="27"/>
      <c r="B192" s="490"/>
      <c r="C192" s="12">
        <v>184</v>
      </c>
      <c r="D192" s="21">
        <f t="shared" si="6"/>
        <v>42320.825913089117</v>
      </c>
      <c r="E192" s="11">
        <f t="shared" si="7"/>
        <v>0</v>
      </c>
      <c r="F192" s="11" t="e">
        <f t="shared" si="8"/>
        <v>#NUM!</v>
      </c>
      <c r="G192" s="19">
        <f>$E$4-SUM($E$9:E192)</f>
        <v>0</v>
      </c>
      <c r="H192" s="494"/>
      <c r="I192" s="27"/>
    </row>
    <row r="193" spans="1:9" x14ac:dyDescent="0.15">
      <c r="A193" s="27"/>
      <c r="B193" s="490"/>
      <c r="C193" s="12">
        <v>185</v>
      </c>
      <c r="D193" s="21">
        <f t="shared" si="6"/>
        <v>42320.825913089117</v>
      </c>
      <c r="E193" s="11">
        <f t="shared" si="7"/>
        <v>0</v>
      </c>
      <c r="F193" s="11" t="e">
        <f t="shared" si="8"/>
        <v>#NUM!</v>
      </c>
      <c r="G193" s="19">
        <f>$E$4-SUM($E$9:E193)</f>
        <v>0</v>
      </c>
      <c r="H193" s="494"/>
      <c r="I193" s="27"/>
    </row>
    <row r="194" spans="1:9" x14ac:dyDescent="0.15">
      <c r="A194" s="27"/>
      <c r="B194" s="490"/>
      <c r="C194" s="12">
        <v>186</v>
      </c>
      <c r="D194" s="21">
        <f t="shared" si="6"/>
        <v>42320.825913089117</v>
      </c>
      <c r="E194" s="11">
        <f t="shared" si="7"/>
        <v>0</v>
      </c>
      <c r="F194" s="11" t="e">
        <f t="shared" si="8"/>
        <v>#NUM!</v>
      </c>
      <c r="G194" s="19">
        <f>$E$4-SUM($E$9:E194)</f>
        <v>0</v>
      </c>
      <c r="H194" s="494"/>
      <c r="I194" s="27"/>
    </row>
    <row r="195" spans="1:9" x14ac:dyDescent="0.15">
      <c r="A195" s="27"/>
      <c r="B195" s="490"/>
      <c r="C195" s="12">
        <v>187</v>
      </c>
      <c r="D195" s="21">
        <f t="shared" si="6"/>
        <v>42320.825913089117</v>
      </c>
      <c r="E195" s="11">
        <f t="shared" si="7"/>
        <v>0</v>
      </c>
      <c r="F195" s="11" t="e">
        <f t="shared" si="8"/>
        <v>#NUM!</v>
      </c>
      <c r="G195" s="19">
        <f>$E$4-SUM($E$9:E195)</f>
        <v>0</v>
      </c>
      <c r="H195" s="494"/>
      <c r="I195" s="27"/>
    </row>
    <row r="196" spans="1:9" x14ac:dyDescent="0.15">
      <c r="A196" s="27"/>
      <c r="B196" s="490"/>
      <c r="C196" s="12">
        <v>188</v>
      </c>
      <c r="D196" s="21">
        <f t="shared" si="6"/>
        <v>42320.825913089117</v>
      </c>
      <c r="E196" s="11">
        <f t="shared" si="7"/>
        <v>0</v>
      </c>
      <c r="F196" s="11" t="e">
        <f t="shared" si="8"/>
        <v>#NUM!</v>
      </c>
      <c r="G196" s="19">
        <f>$E$4-SUM($E$9:E196)</f>
        <v>0</v>
      </c>
      <c r="H196" s="494"/>
      <c r="I196" s="27"/>
    </row>
    <row r="197" spans="1:9" x14ac:dyDescent="0.15">
      <c r="A197" s="27"/>
      <c r="B197" s="490"/>
      <c r="C197" s="12">
        <v>189</v>
      </c>
      <c r="D197" s="21">
        <f t="shared" si="6"/>
        <v>42320.825913089117</v>
      </c>
      <c r="E197" s="11">
        <f t="shared" si="7"/>
        <v>0</v>
      </c>
      <c r="F197" s="11" t="e">
        <f t="shared" si="8"/>
        <v>#NUM!</v>
      </c>
      <c r="G197" s="19">
        <f>$E$4-SUM($E$9:E197)</f>
        <v>0</v>
      </c>
      <c r="H197" s="494"/>
      <c r="I197" s="27"/>
    </row>
    <row r="198" spans="1:9" x14ac:dyDescent="0.15">
      <c r="A198" s="27"/>
      <c r="B198" s="490"/>
      <c r="C198" s="12">
        <v>190</v>
      </c>
      <c r="D198" s="21">
        <f t="shared" si="6"/>
        <v>42320.825913089117</v>
      </c>
      <c r="E198" s="11">
        <f t="shared" si="7"/>
        <v>0</v>
      </c>
      <c r="F198" s="11" t="e">
        <f t="shared" si="8"/>
        <v>#NUM!</v>
      </c>
      <c r="G198" s="19">
        <f>$E$4-SUM($E$9:E198)</f>
        <v>0</v>
      </c>
      <c r="H198" s="494"/>
      <c r="I198" s="27"/>
    </row>
    <row r="199" spans="1:9" x14ac:dyDescent="0.15">
      <c r="A199" s="27"/>
      <c r="B199" s="490"/>
      <c r="C199" s="12">
        <v>191</v>
      </c>
      <c r="D199" s="21">
        <f t="shared" si="6"/>
        <v>42320.825913089117</v>
      </c>
      <c r="E199" s="11">
        <f t="shared" si="7"/>
        <v>0</v>
      </c>
      <c r="F199" s="11" t="e">
        <f t="shared" si="8"/>
        <v>#NUM!</v>
      </c>
      <c r="G199" s="19">
        <f>$E$4-SUM($E$9:E199)</f>
        <v>0</v>
      </c>
      <c r="H199" s="494"/>
      <c r="I199" s="27"/>
    </row>
    <row r="200" spans="1:9" ht="14.25" thickBot="1" x14ac:dyDescent="0.2">
      <c r="A200" s="27"/>
      <c r="B200" s="490"/>
      <c r="C200" s="12">
        <v>192</v>
      </c>
      <c r="D200" s="21">
        <f t="shared" si="6"/>
        <v>42320.825913089117</v>
      </c>
      <c r="E200" s="11">
        <f t="shared" si="7"/>
        <v>0</v>
      </c>
      <c r="F200" s="11" t="e">
        <f t="shared" si="8"/>
        <v>#NUM!</v>
      </c>
      <c r="G200" s="19">
        <f>$E$4-SUM($E$9:E200)</f>
        <v>0</v>
      </c>
      <c r="H200" s="495"/>
      <c r="I200" s="27"/>
    </row>
    <row r="201" spans="1:9" x14ac:dyDescent="0.15">
      <c r="A201" s="27"/>
      <c r="B201" s="490" t="s">
        <v>144</v>
      </c>
      <c r="C201" s="12">
        <v>193</v>
      </c>
      <c r="D201" s="21">
        <f t="shared" si="6"/>
        <v>42320.825913089117</v>
      </c>
      <c r="E201" s="11">
        <f t="shared" si="7"/>
        <v>0</v>
      </c>
      <c r="F201" s="11" t="e">
        <f t="shared" si="8"/>
        <v>#NUM!</v>
      </c>
      <c r="G201" s="19">
        <f>$E$4-SUM($E$9:E201)</f>
        <v>0</v>
      </c>
      <c r="H201" s="496">
        <f>+G212</f>
        <v>0</v>
      </c>
      <c r="I201" s="27"/>
    </row>
    <row r="202" spans="1:9" x14ac:dyDescent="0.15">
      <c r="A202" s="27"/>
      <c r="B202" s="490"/>
      <c r="C202" s="12">
        <v>194</v>
      </c>
      <c r="D202" s="21">
        <f t="shared" ref="D202:D265" si="9">$E$7</f>
        <v>42320.825913089117</v>
      </c>
      <c r="E202" s="11">
        <f t="shared" ref="E202:E265" si="10">IF($H$4&gt;C202-1,-PPMT($G$4/12,$C202,$H$4,$E$4),0)</f>
        <v>0</v>
      </c>
      <c r="F202" s="11" t="e">
        <f t="shared" ref="F202:F265" si="11">-IPMT($G$4/12,$C202,$H$4,$E$4)</f>
        <v>#NUM!</v>
      </c>
      <c r="G202" s="19">
        <f>$E$4-SUM($E$9:E202)</f>
        <v>0</v>
      </c>
      <c r="H202" s="494"/>
      <c r="I202" s="27"/>
    </row>
    <row r="203" spans="1:9" x14ac:dyDescent="0.15">
      <c r="A203" s="27"/>
      <c r="B203" s="490"/>
      <c r="C203" s="12">
        <v>195</v>
      </c>
      <c r="D203" s="21">
        <f t="shared" si="9"/>
        <v>42320.825913089117</v>
      </c>
      <c r="E203" s="11">
        <f t="shared" si="10"/>
        <v>0</v>
      </c>
      <c r="F203" s="11" t="e">
        <f t="shared" si="11"/>
        <v>#NUM!</v>
      </c>
      <c r="G203" s="19">
        <f>$E$4-SUM($E$9:E203)</f>
        <v>0</v>
      </c>
      <c r="H203" s="494"/>
      <c r="I203" s="27"/>
    </row>
    <row r="204" spans="1:9" x14ac:dyDescent="0.15">
      <c r="A204" s="27"/>
      <c r="B204" s="490"/>
      <c r="C204" s="12">
        <v>196</v>
      </c>
      <c r="D204" s="21">
        <f t="shared" si="9"/>
        <v>42320.825913089117</v>
      </c>
      <c r="E204" s="11">
        <f t="shared" si="10"/>
        <v>0</v>
      </c>
      <c r="F204" s="11" t="e">
        <f t="shared" si="11"/>
        <v>#NUM!</v>
      </c>
      <c r="G204" s="19">
        <f>$E$4-SUM($E$9:E204)</f>
        <v>0</v>
      </c>
      <c r="H204" s="494"/>
      <c r="I204" s="27"/>
    </row>
    <row r="205" spans="1:9" x14ac:dyDescent="0.15">
      <c r="A205" s="27"/>
      <c r="B205" s="490"/>
      <c r="C205" s="12">
        <v>197</v>
      </c>
      <c r="D205" s="21">
        <f t="shared" si="9"/>
        <v>42320.825913089117</v>
      </c>
      <c r="E205" s="11">
        <f t="shared" si="10"/>
        <v>0</v>
      </c>
      <c r="F205" s="11" t="e">
        <f t="shared" si="11"/>
        <v>#NUM!</v>
      </c>
      <c r="G205" s="19">
        <f>$E$4-SUM($E$9:E205)</f>
        <v>0</v>
      </c>
      <c r="H205" s="494"/>
      <c r="I205" s="27"/>
    </row>
    <row r="206" spans="1:9" x14ac:dyDescent="0.15">
      <c r="A206" s="27"/>
      <c r="B206" s="490"/>
      <c r="C206" s="12">
        <v>198</v>
      </c>
      <c r="D206" s="21">
        <f t="shared" si="9"/>
        <v>42320.825913089117</v>
      </c>
      <c r="E206" s="11">
        <f t="shared" si="10"/>
        <v>0</v>
      </c>
      <c r="F206" s="11" t="e">
        <f t="shared" si="11"/>
        <v>#NUM!</v>
      </c>
      <c r="G206" s="19">
        <f>$E$4-SUM($E$9:E206)</f>
        <v>0</v>
      </c>
      <c r="H206" s="494"/>
      <c r="I206" s="27"/>
    </row>
    <row r="207" spans="1:9" x14ac:dyDescent="0.15">
      <c r="A207" s="27"/>
      <c r="B207" s="490"/>
      <c r="C207" s="12">
        <v>199</v>
      </c>
      <c r="D207" s="21">
        <f t="shared" si="9"/>
        <v>42320.825913089117</v>
      </c>
      <c r="E207" s="11">
        <f t="shared" si="10"/>
        <v>0</v>
      </c>
      <c r="F207" s="11" t="e">
        <f t="shared" si="11"/>
        <v>#NUM!</v>
      </c>
      <c r="G207" s="19">
        <f>$E$4-SUM($E$9:E207)</f>
        <v>0</v>
      </c>
      <c r="H207" s="494"/>
      <c r="I207" s="27"/>
    </row>
    <row r="208" spans="1:9" x14ac:dyDescent="0.15">
      <c r="A208" s="27"/>
      <c r="B208" s="490"/>
      <c r="C208" s="12">
        <v>200</v>
      </c>
      <c r="D208" s="21">
        <f t="shared" si="9"/>
        <v>42320.825913089117</v>
      </c>
      <c r="E208" s="11">
        <f t="shared" si="10"/>
        <v>0</v>
      </c>
      <c r="F208" s="11" t="e">
        <f t="shared" si="11"/>
        <v>#NUM!</v>
      </c>
      <c r="G208" s="19">
        <f>$E$4-SUM($E$9:E208)</f>
        <v>0</v>
      </c>
      <c r="H208" s="494"/>
      <c r="I208" s="27"/>
    </row>
    <row r="209" spans="1:9" x14ac:dyDescent="0.15">
      <c r="A209" s="27"/>
      <c r="B209" s="490"/>
      <c r="C209" s="12">
        <v>201</v>
      </c>
      <c r="D209" s="21">
        <f t="shared" si="9"/>
        <v>42320.825913089117</v>
      </c>
      <c r="E209" s="11">
        <f t="shared" si="10"/>
        <v>0</v>
      </c>
      <c r="F209" s="11" t="e">
        <f t="shared" si="11"/>
        <v>#NUM!</v>
      </c>
      <c r="G209" s="19">
        <f>$E$4-SUM($E$9:E209)</f>
        <v>0</v>
      </c>
      <c r="H209" s="494"/>
      <c r="I209" s="27"/>
    </row>
    <row r="210" spans="1:9" x14ac:dyDescent="0.15">
      <c r="A210" s="27"/>
      <c r="B210" s="490"/>
      <c r="C210" s="12">
        <v>202</v>
      </c>
      <c r="D210" s="21">
        <f t="shared" si="9"/>
        <v>42320.825913089117</v>
      </c>
      <c r="E210" s="11">
        <f t="shared" si="10"/>
        <v>0</v>
      </c>
      <c r="F210" s="11" t="e">
        <f t="shared" si="11"/>
        <v>#NUM!</v>
      </c>
      <c r="G210" s="19">
        <f>$E$4-SUM($E$9:E210)</f>
        <v>0</v>
      </c>
      <c r="H210" s="494"/>
      <c r="I210" s="27"/>
    </row>
    <row r="211" spans="1:9" x14ac:dyDescent="0.15">
      <c r="A211" s="27"/>
      <c r="B211" s="490"/>
      <c r="C211" s="12">
        <v>203</v>
      </c>
      <c r="D211" s="21">
        <f t="shared" si="9"/>
        <v>42320.825913089117</v>
      </c>
      <c r="E211" s="11">
        <f t="shared" si="10"/>
        <v>0</v>
      </c>
      <c r="F211" s="11" t="e">
        <f t="shared" si="11"/>
        <v>#NUM!</v>
      </c>
      <c r="G211" s="19">
        <f>$E$4-SUM($E$9:E211)</f>
        <v>0</v>
      </c>
      <c r="H211" s="494"/>
      <c r="I211" s="27"/>
    </row>
    <row r="212" spans="1:9" ht="14.25" thickBot="1" x14ac:dyDescent="0.2">
      <c r="A212" s="27"/>
      <c r="B212" s="490"/>
      <c r="C212" s="12">
        <v>204</v>
      </c>
      <c r="D212" s="21">
        <f t="shared" si="9"/>
        <v>42320.825913089117</v>
      </c>
      <c r="E212" s="11">
        <f t="shared" si="10"/>
        <v>0</v>
      </c>
      <c r="F212" s="11" t="e">
        <f t="shared" si="11"/>
        <v>#NUM!</v>
      </c>
      <c r="G212" s="19">
        <f>$E$4-SUM($E$9:E212)</f>
        <v>0</v>
      </c>
      <c r="H212" s="495"/>
      <c r="I212" s="27"/>
    </row>
    <row r="213" spans="1:9" x14ac:dyDescent="0.15">
      <c r="A213" s="27"/>
      <c r="B213" s="490" t="s">
        <v>145</v>
      </c>
      <c r="C213" s="12">
        <v>205</v>
      </c>
      <c r="D213" s="21">
        <f t="shared" si="9"/>
        <v>42320.825913089117</v>
      </c>
      <c r="E213" s="11">
        <f t="shared" si="10"/>
        <v>0</v>
      </c>
      <c r="F213" s="11" t="e">
        <f t="shared" si="11"/>
        <v>#NUM!</v>
      </c>
      <c r="G213" s="19">
        <f>$E$4-SUM($E$9:E213)</f>
        <v>0</v>
      </c>
      <c r="H213" s="496">
        <f>+G224</f>
        <v>0</v>
      </c>
      <c r="I213" s="27"/>
    </row>
    <row r="214" spans="1:9" x14ac:dyDescent="0.15">
      <c r="A214" s="27"/>
      <c r="B214" s="490"/>
      <c r="C214" s="12">
        <v>206</v>
      </c>
      <c r="D214" s="21">
        <f t="shared" si="9"/>
        <v>42320.825913089117</v>
      </c>
      <c r="E214" s="11">
        <f t="shared" si="10"/>
        <v>0</v>
      </c>
      <c r="F214" s="11" t="e">
        <f t="shared" si="11"/>
        <v>#NUM!</v>
      </c>
      <c r="G214" s="19">
        <f>$E$4-SUM($E$9:E214)</f>
        <v>0</v>
      </c>
      <c r="H214" s="494"/>
      <c r="I214" s="27"/>
    </row>
    <row r="215" spans="1:9" x14ac:dyDescent="0.15">
      <c r="A215" s="27"/>
      <c r="B215" s="490"/>
      <c r="C215" s="12">
        <v>207</v>
      </c>
      <c r="D215" s="21">
        <f t="shared" si="9"/>
        <v>42320.825913089117</v>
      </c>
      <c r="E215" s="11">
        <f t="shared" si="10"/>
        <v>0</v>
      </c>
      <c r="F215" s="11" t="e">
        <f t="shared" si="11"/>
        <v>#NUM!</v>
      </c>
      <c r="G215" s="19">
        <f>$E$4-SUM($E$9:E215)</f>
        <v>0</v>
      </c>
      <c r="H215" s="494"/>
      <c r="I215" s="27"/>
    </row>
    <row r="216" spans="1:9" x14ac:dyDescent="0.15">
      <c r="A216" s="27"/>
      <c r="B216" s="490"/>
      <c r="C216" s="12">
        <v>208</v>
      </c>
      <c r="D216" s="21">
        <f t="shared" si="9"/>
        <v>42320.825913089117</v>
      </c>
      <c r="E216" s="11">
        <f t="shared" si="10"/>
        <v>0</v>
      </c>
      <c r="F216" s="11" t="e">
        <f t="shared" si="11"/>
        <v>#NUM!</v>
      </c>
      <c r="G216" s="19">
        <f>$E$4-SUM($E$9:E216)</f>
        <v>0</v>
      </c>
      <c r="H216" s="494"/>
      <c r="I216" s="27"/>
    </row>
    <row r="217" spans="1:9" x14ac:dyDescent="0.15">
      <c r="A217" s="27"/>
      <c r="B217" s="490"/>
      <c r="C217" s="12">
        <v>209</v>
      </c>
      <c r="D217" s="21">
        <f t="shared" si="9"/>
        <v>42320.825913089117</v>
      </c>
      <c r="E217" s="11">
        <f t="shared" si="10"/>
        <v>0</v>
      </c>
      <c r="F217" s="11" t="e">
        <f t="shared" si="11"/>
        <v>#NUM!</v>
      </c>
      <c r="G217" s="19">
        <f>$E$4-SUM($E$9:E217)</f>
        <v>0</v>
      </c>
      <c r="H217" s="494"/>
      <c r="I217" s="27"/>
    </row>
    <row r="218" spans="1:9" x14ac:dyDescent="0.15">
      <c r="A218" s="27"/>
      <c r="B218" s="490"/>
      <c r="C218" s="12">
        <v>210</v>
      </c>
      <c r="D218" s="21">
        <f t="shared" si="9"/>
        <v>42320.825913089117</v>
      </c>
      <c r="E218" s="11">
        <f t="shared" si="10"/>
        <v>0</v>
      </c>
      <c r="F218" s="11" t="e">
        <f t="shared" si="11"/>
        <v>#NUM!</v>
      </c>
      <c r="G218" s="19">
        <f>$E$4-SUM($E$9:E218)</f>
        <v>0</v>
      </c>
      <c r="H218" s="494"/>
      <c r="I218" s="27"/>
    </row>
    <row r="219" spans="1:9" x14ac:dyDescent="0.15">
      <c r="A219" s="27"/>
      <c r="B219" s="490"/>
      <c r="C219" s="12">
        <v>211</v>
      </c>
      <c r="D219" s="21">
        <f t="shared" si="9"/>
        <v>42320.825913089117</v>
      </c>
      <c r="E219" s="11">
        <f t="shared" si="10"/>
        <v>0</v>
      </c>
      <c r="F219" s="11" t="e">
        <f t="shared" si="11"/>
        <v>#NUM!</v>
      </c>
      <c r="G219" s="19">
        <f>$E$4-SUM($E$9:E219)</f>
        <v>0</v>
      </c>
      <c r="H219" s="494"/>
      <c r="I219" s="27"/>
    </row>
    <row r="220" spans="1:9" x14ac:dyDescent="0.15">
      <c r="A220" s="27"/>
      <c r="B220" s="490"/>
      <c r="C220" s="12">
        <v>212</v>
      </c>
      <c r="D220" s="21">
        <f t="shared" si="9"/>
        <v>42320.825913089117</v>
      </c>
      <c r="E220" s="11">
        <f t="shared" si="10"/>
        <v>0</v>
      </c>
      <c r="F220" s="11" t="e">
        <f t="shared" si="11"/>
        <v>#NUM!</v>
      </c>
      <c r="G220" s="19">
        <f>$E$4-SUM($E$9:E220)</f>
        <v>0</v>
      </c>
      <c r="H220" s="494"/>
      <c r="I220" s="27"/>
    </row>
    <row r="221" spans="1:9" x14ac:dyDescent="0.15">
      <c r="A221" s="27"/>
      <c r="B221" s="490"/>
      <c r="C221" s="12">
        <v>213</v>
      </c>
      <c r="D221" s="21">
        <f t="shared" si="9"/>
        <v>42320.825913089117</v>
      </c>
      <c r="E221" s="11">
        <f t="shared" si="10"/>
        <v>0</v>
      </c>
      <c r="F221" s="11" t="e">
        <f t="shared" si="11"/>
        <v>#NUM!</v>
      </c>
      <c r="G221" s="19">
        <f>$E$4-SUM($E$9:E221)</f>
        <v>0</v>
      </c>
      <c r="H221" s="494"/>
      <c r="I221" s="27"/>
    </row>
    <row r="222" spans="1:9" x14ac:dyDescent="0.15">
      <c r="A222" s="27"/>
      <c r="B222" s="490"/>
      <c r="C222" s="12">
        <v>214</v>
      </c>
      <c r="D222" s="21">
        <f t="shared" si="9"/>
        <v>42320.825913089117</v>
      </c>
      <c r="E222" s="11">
        <f t="shared" si="10"/>
        <v>0</v>
      </c>
      <c r="F222" s="11" t="e">
        <f t="shared" si="11"/>
        <v>#NUM!</v>
      </c>
      <c r="G222" s="19">
        <f>$E$4-SUM($E$9:E222)</f>
        <v>0</v>
      </c>
      <c r="H222" s="494"/>
      <c r="I222" s="27"/>
    </row>
    <row r="223" spans="1:9" x14ac:dyDescent="0.15">
      <c r="A223" s="27"/>
      <c r="B223" s="490"/>
      <c r="C223" s="12">
        <v>215</v>
      </c>
      <c r="D223" s="21">
        <f t="shared" si="9"/>
        <v>42320.825913089117</v>
      </c>
      <c r="E223" s="11">
        <f t="shared" si="10"/>
        <v>0</v>
      </c>
      <c r="F223" s="11" t="e">
        <f t="shared" si="11"/>
        <v>#NUM!</v>
      </c>
      <c r="G223" s="19">
        <f>$E$4-SUM($E$9:E223)</f>
        <v>0</v>
      </c>
      <c r="H223" s="494"/>
      <c r="I223" s="27"/>
    </row>
    <row r="224" spans="1:9" ht="14.25" thickBot="1" x14ac:dyDescent="0.2">
      <c r="A224" s="27"/>
      <c r="B224" s="490"/>
      <c r="C224" s="12">
        <v>216</v>
      </c>
      <c r="D224" s="21">
        <f t="shared" si="9"/>
        <v>42320.825913089117</v>
      </c>
      <c r="E224" s="11">
        <f t="shared" si="10"/>
        <v>0</v>
      </c>
      <c r="F224" s="11" t="e">
        <f t="shared" si="11"/>
        <v>#NUM!</v>
      </c>
      <c r="G224" s="19">
        <f>$E$4-SUM($E$9:E224)</f>
        <v>0</v>
      </c>
      <c r="H224" s="495"/>
      <c r="I224" s="27"/>
    </row>
    <row r="225" spans="1:9" x14ac:dyDescent="0.15">
      <c r="A225" s="27"/>
      <c r="B225" s="490" t="s">
        <v>146</v>
      </c>
      <c r="C225" s="12">
        <v>217</v>
      </c>
      <c r="D225" s="21">
        <f t="shared" si="9"/>
        <v>42320.825913089117</v>
      </c>
      <c r="E225" s="11">
        <f t="shared" si="10"/>
        <v>0</v>
      </c>
      <c r="F225" s="11" t="e">
        <f t="shared" si="11"/>
        <v>#NUM!</v>
      </c>
      <c r="G225" s="19">
        <f>$E$4-SUM($E$9:E225)</f>
        <v>0</v>
      </c>
      <c r="H225" s="496">
        <f>+G236</f>
        <v>0</v>
      </c>
      <c r="I225" s="27"/>
    </row>
    <row r="226" spans="1:9" x14ac:dyDescent="0.15">
      <c r="A226" s="27"/>
      <c r="B226" s="490"/>
      <c r="C226" s="12">
        <v>218</v>
      </c>
      <c r="D226" s="21">
        <f t="shared" si="9"/>
        <v>42320.825913089117</v>
      </c>
      <c r="E226" s="11">
        <f t="shared" si="10"/>
        <v>0</v>
      </c>
      <c r="F226" s="11" t="e">
        <f t="shared" si="11"/>
        <v>#NUM!</v>
      </c>
      <c r="G226" s="19">
        <f>$E$4-SUM($E$9:E226)</f>
        <v>0</v>
      </c>
      <c r="H226" s="494"/>
      <c r="I226" s="27"/>
    </row>
    <row r="227" spans="1:9" x14ac:dyDescent="0.15">
      <c r="A227" s="27"/>
      <c r="B227" s="490"/>
      <c r="C227" s="12">
        <v>219</v>
      </c>
      <c r="D227" s="21">
        <f t="shared" si="9"/>
        <v>42320.825913089117</v>
      </c>
      <c r="E227" s="11">
        <f t="shared" si="10"/>
        <v>0</v>
      </c>
      <c r="F227" s="11" t="e">
        <f t="shared" si="11"/>
        <v>#NUM!</v>
      </c>
      <c r="G227" s="19">
        <f>$E$4-SUM($E$9:E227)</f>
        <v>0</v>
      </c>
      <c r="H227" s="494"/>
      <c r="I227" s="27"/>
    </row>
    <row r="228" spans="1:9" x14ac:dyDescent="0.15">
      <c r="A228" s="27"/>
      <c r="B228" s="490"/>
      <c r="C228" s="12">
        <v>220</v>
      </c>
      <c r="D228" s="21">
        <f t="shared" si="9"/>
        <v>42320.825913089117</v>
      </c>
      <c r="E228" s="11">
        <f t="shared" si="10"/>
        <v>0</v>
      </c>
      <c r="F228" s="11" t="e">
        <f t="shared" si="11"/>
        <v>#NUM!</v>
      </c>
      <c r="G228" s="19">
        <f>$E$4-SUM($E$9:E228)</f>
        <v>0</v>
      </c>
      <c r="H228" s="494"/>
      <c r="I228" s="27"/>
    </row>
    <row r="229" spans="1:9" x14ac:dyDescent="0.15">
      <c r="A229" s="27"/>
      <c r="B229" s="490"/>
      <c r="C229" s="12">
        <v>221</v>
      </c>
      <c r="D229" s="21">
        <f t="shared" si="9"/>
        <v>42320.825913089117</v>
      </c>
      <c r="E229" s="11">
        <f t="shared" si="10"/>
        <v>0</v>
      </c>
      <c r="F229" s="11" t="e">
        <f t="shared" si="11"/>
        <v>#NUM!</v>
      </c>
      <c r="G229" s="19">
        <f>$E$4-SUM($E$9:E229)</f>
        <v>0</v>
      </c>
      <c r="H229" s="494"/>
      <c r="I229" s="27"/>
    </row>
    <row r="230" spans="1:9" x14ac:dyDescent="0.15">
      <c r="A230" s="27"/>
      <c r="B230" s="490"/>
      <c r="C230" s="12">
        <v>222</v>
      </c>
      <c r="D230" s="21">
        <f t="shared" si="9"/>
        <v>42320.825913089117</v>
      </c>
      <c r="E230" s="11">
        <f t="shared" si="10"/>
        <v>0</v>
      </c>
      <c r="F230" s="11" t="e">
        <f t="shared" si="11"/>
        <v>#NUM!</v>
      </c>
      <c r="G230" s="19">
        <f>$E$4-SUM($E$9:E230)</f>
        <v>0</v>
      </c>
      <c r="H230" s="494"/>
      <c r="I230" s="27"/>
    </row>
    <row r="231" spans="1:9" x14ac:dyDescent="0.15">
      <c r="A231" s="27"/>
      <c r="B231" s="490"/>
      <c r="C231" s="12">
        <v>223</v>
      </c>
      <c r="D231" s="21">
        <f t="shared" si="9"/>
        <v>42320.825913089117</v>
      </c>
      <c r="E231" s="11">
        <f t="shared" si="10"/>
        <v>0</v>
      </c>
      <c r="F231" s="11" t="e">
        <f t="shared" si="11"/>
        <v>#NUM!</v>
      </c>
      <c r="G231" s="19">
        <f>$E$4-SUM($E$9:E231)</f>
        <v>0</v>
      </c>
      <c r="H231" s="494"/>
      <c r="I231" s="27"/>
    </row>
    <row r="232" spans="1:9" x14ac:dyDescent="0.15">
      <c r="A232" s="27"/>
      <c r="B232" s="490"/>
      <c r="C232" s="12">
        <v>224</v>
      </c>
      <c r="D232" s="21">
        <f t="shared" si="9"/>
        <v>42320.825913089117</v>
      </c>
      <c r="E232" s="11">
        <f t="shared" si="10"/>
        <v>0</v>
      </c>
      <c r="F232" s="11" t="e">
        <f t="shared" si="11"/>
        <v>#NUM!</v>
      </c>
      <c r="G232" s="19">
        <f>$E$4-SUM($E$9:E232)</f>
        <v>0</v>
      </c>
      <c r="H232" s="494"/>
      <c r="I232" s="27"/>
    </row>
    <row r="233" spans="1:9" x14ac:dyDescent="0.15">
      <c r="A233" s="27"/>
      <c r="B233" s="490"/>
      <c r="C233" s="12">
        <v>225</v>
      </c>
      <c r="D233" s="21">
        <f t="shared" si="9"/>
        <v>42320.825913089117</v>
      </c>
      <c r="E233" s="11">
        <f t="shared" si="10"/>
        <v>0</v>
      </c>
      <c r="F233" s="11" t="e">
        <f t="shared" si="11"/>
        <v>#NUM!</v>
      </c>
      <c r="G233" s="19">
        <f>$E$4-SUM($E$9:E233)</f>
        <v>0</v>
      </c>
      <c r="H233" s="494"/>
      <c r="I233" s="27"/>
    </row>
    <row r="234" spans="1:9" x14ac:dyDescent="0.15">
      <c r="A234" s="27"/>
      <c r="B234" s="490"/>
      <c r="C234" s="12">
        <v>226</v>
      </c>
      <c r="D234" s="21">
        <f t="shared" si="9"/>
        <v>42320.825913089117</v>
      </c>
      <c r="E234" s="11">
        <f t="shared" si="10"/>
        <v>0</v>
      </c>
      <c r="F234" s="11" t="e">
        <f t="shared" si="11"/>
        <v>#NUM!</v>
      </c>
      <c r="G234" s="19">
        <f>$E$4-SUM($E$9:E234)</f>
        <v>0</v>
      </c>
      <c r="H234" s="494"/>
      <c r="I234" s="27"/>
    </row>
    <row r="235" spans="1:9" x14ac:dyDescent="0.15">
      <c r="A235" s="27"/>
      <c r="B235" s="490"/>
      <c r="C235" s="12">
        <v>227</v>
      </c>
      <c r="D235" s="21">
        <f t="shared" si="9"/>
        <v>42320.825913089117</v>
      </c>
      <c r="E235" s="11">
        <f t="shared" si="10"/>
        <v>0</v>
      </c>
      <c r="F235" s="11" t="e">
        <f t="shared" si="11"/>
        <v>#NUM!</v>
      </c>
      <c r="G235" s="19">
        <f>$E$4-SUM($E$9:E235)</f>
        <v>0</v>
      </c>
      <c r="H235" s="494"/>
      <c r="I235" s="27"/>
    </row>
    <row r="236" spans="1:9" ht="14.25" thickBot="1" x14ac:dyDescent="0.2">
      <c r="A236" s="27"/>
      <c r="B236" s="490"/>
      <c r="C236" s="12">
        <v>228</v>
      </c>
      <c r="D236" s="21">
        <f t="shared" si="9"/>
        <v>42320.825913089117</v>
      </c>
      <c r="E236" s="11">
        <f t="shared" si="10"/>
        <v>0</v>
      </c>
      <c r="F236" s="11" t="e">
        <f t="shared" si="11"/>
        <v>#NUM!</v>
      </c>
      <c r="G236" s="19">
        <f>$E$4-SUM($E$9:E236)</f>
        <v>0</v>
      </c>
      <c r="H236" s="495"/>
      <c r="I236" s="27"/>
    </row>
    <row r="237" spans="1:9" x14ac:dyDescent="0.15">
      <c r="A237" s="27"/>
      <c r="B237" s="490" t="s">
        <v>147</v>
      </c>
      <c r="C237" s="12">
        <v>229</v>
      </c>
      <c r="D237" s="21">
        <f t="shared" si="9"/>
        <v>42320.825913089117</v>
      </c>
      <c r="E237" s="11">
        <f t="shared" si="10"/>
        <v>0</v>
      </c>
      <c r="F237" s="11" t="e">
        <f t="shared" si="11"/>
        <v>#NUM!</v>
      </c>
      <c r="G237" s="19">
        <f>$E$4-SUM($E$9:E237)</f>
        <v>0</v>
      </c>
      <c r="H237" s="496">
        <f>+G248</f>
        <v>0</v>
      </c>
      <c r="I237" s="27"/>
    </row>
    <row r="238" spans="1:9" x14ac:dyDescent="0.15">
      <c r="A238" s="27"/>
      <c r="B238" s="490"/>
      <c r="C238" s="12">
        <v>230</v>
      </c>
      <c r="D238" s="21">
        <f t="shared" si="9"/>
        <v>42320.825913089117</v>
      </c>
      <c r="E238" s="11">
        <f t="shared" si="10"/>
        <v>0</v>
      </c>
      <c r="F238" s="11" t="e">
        <f t="shared" si="11"/>
        <v>#NUM!</v>
      </c>
      <c r="G238" s="19">
        <f>$E$4-SUM($E$9:E238)</f>
        <v>0</v>
      </c>
      <c r="H238" s="494"/>
      <c r="I238" s="27"/>
    </row>
    <row r="239" spans="1:9" x14ac:dyDescent="0.15">
      <c r="A239" s="27"/>
      <c r="B239" s="490"/>
      <c r="C239" s="12">
        <v>231</v>
      </c>
      <c r="D239" s="21">
        <f t="shared" si="9"/>
        <v>42320.825913089117</v>
      </c>
      <c r="E239" s="11">
        <f t="shared" si="10"/>
        <v>0</v>
      </c>
      <c r="F239" s="11" t="e">
        <f t="shared" si="11"/>
        <v>#NUM!</v>
      </c>
      <c r="G239" s="19">
        <f>$E$4-SUM($E$9:E239)</f>
        <v>0</v>
      </c>
      <c r="H239" s="494"/>
      <c r="I239" s="27"/>
    </row>
    <row r="240" spans="1:9" x14ac:dyDescent="0.15">
      <c r="A240" s="27"/>
      <c r="B240" s="490"/>
      <c r="C240" s="12">
        <v>232</v>
      </c>
      <c r="D240" s="21">
        <f t="shared" si="9"/>
        <v>42320.825913089117</v>
      </c>
      <c r="E240" s="11">
        <f t="shared" si="10"/>
        <v>0</v>
      </c>
      <c r="F240" s="11" t="e">
        <f t="shared" si="11"/>
        <v>#NUM!</v>
      </c>
      <c r="G240" s="19">
        <f>$E$4-SUM($E$9:E240)</f>
        <v>0</v>
      </c>
      <c r="H240" s="494"/>
      <c r="I240" s="27"/>
    </row>
    <row r="241" spans="1:9" x14ac:dyDescent="0.15">
      <c r="A241" s="27"/>
      <c r="B241" s="490"/>
      <c r="C241" s="12">
        <v>233</v>
      </c>
      <c r="D241" s="21">
        <f t="shared" si="9"/>
        <v>42320.825913089117</v>
      </c>
      <c r="E241" s="11">
        <f t="shared" si="10"/>
        <v>0</v>
      </c>
      <c r="F241" s="11" t="e">
        <f t="shared" si="11"/>
        <v>#NUM!</v>
      </c>
      <c r="G241" s="19">
        <f>$E$4-SUM($E$9:E241)</f>
        <v>0</v>
      </c>
      <c r="H241" s="494"/>
      <c r="I241" s="27"/>
    </row>
    <row r="242" spans="1:9" x14ac:dyDescent="0.15">
      <c r="A242" s="27"/>
      <c r="B242" s="490"/>
      <c r="C242" s="12">
        <v>234</v>
      </c>
      <c r="D242" s="21">
        <f t="shared" si="9"/>
        <v>42320.825913089117</v>
      </c>
      <c r="E242" s="11">
        <f t="shared" si="10"/>
        <v>0</v>
      </c>
      <c r="F242" s="11" t="e">
        <f t="shared" si="11"/>
        <v>#NUM!</v>
      </c>
      <c r="G242" s="19">
        <f>$E$4-SUM($E$9:E242)</f>
        <v>0</v>
      </c>
      <c r="H242" s="494"/>
      <c r="I242" s="27"/>
    </row>
    <row r="243" spans="1:9" x14ac:dyDescent="0.15">
      <c r="A243" s="27"/>
      <c r="B243" s="490"/>
      <c r="C243" s="12">
        <v>235</v>
      </c>
      <c r="D243" s="21">
        <f t="shared" si="9"/>
        <v>42320.825913089117</v>
      </c>
      <c r="E243" s="11">
        <f t="shared" si="10"/>
        <v>0</v>
      </c>
      <c r="F243" s="11" t="e">
        <f t="shared" si="11"/>
        <v>#NUM!</v>
      </c>
      <c r="G243" s="19">
        <f>$E$4-SUM($E$9:E243)</f>
        <v>0</v>
      </c>
      <c r="H243" s="494"/>
      <c r="I243" s="27"/>
    </row>
    <row r="244" spans="1:9" x14ac:dyDescent="0.15">
      <c r="A244" s="27"/>
      <c r="B244" s="490"/>
      <c r="C244" s="12">
        <v>236</v>
      </c>
      <c r="D244" s="21">
        <f t="shared" si="9"/>
        <v>42320.825913089117</v>
      </c>
      <c r="E244" s="11">
        <f t="shared" si="10"/>
        <v>0</v>
      </c>
      <c r="F244" s="11" t="e">
        <f t="shared" si="11"/>
        <v>#NUM!</v>
      </c>
      <c r="G244" s="19">
        <f>$E$4-SUM($E$9:E244)</f>
        <v>0</v>
      </c>
      <c r="H244" s="494"/>
      <c r="I244" s="27"/>
    </row>
    <row r="245" spans="1:9" x14ac:dyDescent="0.15">
      <c r="A245" s="27"/>
      <c r="B245" s="490"/>
      <c r="C245" s="12">
        <v>237</v>
      </c>
      <c r="D245" s="21">
        <f t="shared" si="9"/>
        <v>42320.825913089117</v>
      </c>
      <c r="E245" s="11">
        <f t="shared" si="10"/>
        <v>0</v>
      </c>
      <c r="F245" s="11" t="e">
        <f t="shared" si="11"/>
        <v>#NUM!</v>
      </c>
      <c r="G245" s="19">
        <f>$E$4-SUM($E$9:E245)</f>
        <v>0</v>
      </c>
      <c r="H245" s="494"/>
      <c r="I245" s="27"/>
    </row>
    <row r="246" spans="1:9" x14ac:dyDescent="0.15">
      <c r="A246" s="27"/>
      <c r="B246" s="490"/>
      <c r="C246" s="12">
        <v>238</v>
      </c>
      <c r="D246" s="21">
        <f t="shared" si="9"/>
        <v>42320.825913089117</v>
      </c>
      <c r="E246" s="11">
        <f t="shared" si="10"/>
        <v>0</v>
      </c>
      <c r="F246" s="11" t="e">
        <f t="shared" si="11"/>
        <v>#NUM!</v>
      </c>
      <c r="G246" s="19">
        <f>$E$4-SUM($E$9:E246)</f>
        <v>0</v>
      </c>
      <c r="H246" s="494"/>
      <c r="I246" s="27"/>
    </row>
    <row r="247" spans="1:9" x14ac:dyDescent="0.15">
      <c r="A247" s="27"/>
      <c r="B247" s="490"/>
      <c r="C247" s="12">
        <v>239</v>
      </c>
      <c r="D247" s="21">
        <f t="shared" si="9"/>
        <v>42320.825913089117</v>
      </c>
      <c r="E247" s="11">
        <f t="shared" si="10"/>
        <v>0</v>
      </c>
      <c r="F247" s="11" t="e">
        <f t="shared" si="11"/>
        <v>#NUM!</v>
      </c>
      <c r="G247" s="19">
        <f>$E$4-SUM($E$9:E247)</f>
        <v>0</v>
      </c>
      <c r="H247" s="494"/>
      <c r="I247" s="27"/>
    </row>
    <row r="248" spans="1:9" ht="14.25" thickBot="1" x14ac:dyDescent="0.2">
      <c r="A248" s="27"/>
      <c r="B248" s="490"/>
      <c r="C248" s="12">
        <v>240</v>
      </c>
      <c r="D248" s="21">
        <f t="shared" si="9"/>
        <v>42320.825913089117</v>
      </c>
      <c r="E248" s="11">
        <f t="shared" si="10"/>
        <v>0</v>
      </c>
      <c r="F248" s="11" t="e">
        <f t="shared" si="11"/>
        <v>#NUM!</v>
      </c>
      <c r="G248" s="19">
        <f>$E$4-SUM($E$9:E248)</f>
        <v>0</v>
      </c>
      <c r="H248" s="495"/>
      <c r="I248" s="27"/>
    </row>
    <row r="249" spans="1:9" x14ac:dyDescent="0.15">
      <c r="A249" s="27"/>
      <c r="B249" s="490" t="s">
        <v>148</v>
      </c>
      <c r="C249" s="12">
        <v>241</v>
      </c>
      <c r="D249" s="21">
        <f t="shared" si="9"/>
        <v>42320.825913089117</v>
      </c>
      <c r="E249" s="11">
        <f t="shared" si="10"/>
        <v>0</v>
      </c>
      <c r="F249" s="11" t="e">
        <f t="shared" si="11"/>
        <v>#NUM!</v>
      </c>
      <c r="G249" s="19">
        <f>$E$4-SUM($E$9:E249)</f>
        <v>0</v>
      </c>
      <c r="H249" s="496">
        <f>+G260</f>
        <v>0</v>
      </c>
      <c r="I249" s="27"/>
    </row>
    <row r="250" spans="1:9" x14ac:dyDescent="0.15">
      <c r="A250" s="27"/>
      <c r="B250" s="490"/>
      <c r="C250" s="12">
        <v>242</v>
      </c>
      <c r="D250" s="21">
        <f t="shared" si="9"/>
        <v>42320.825913089117</v>
      </c>
      <c r="E250" s="11">
        <f t="shared" si="10"/>
        <v>0</v>
      </c>
      <c r="F250" s="11" t="e">
        <f t="shared" si="11"/>
        <v>#NUM!</v>
      </c>
      <c r="G250" s="19">
        <f>$E$4-SUM($E$9:E250)</f>
        <v>0</v>
      </c>
      <c r="H250" s="494"/>
      <c r="I250" s="27"/>
    </row>
    <row r="251" spans="1:9" x14ac:dyDescent="0.15">
      <c r="A251" s="27"/>
      <c r="B251" s="490"/>
      <c r="C251" s="12">
        <v>243</v>
      </c>
      <c r="D251" s="21">
        <f t="shared" si="9"/>
        <v>42320.825913089117</v>
      </c>
      <c r="E251" s="11">
        <f t="shared" si="10"/>
        <v>0</v>
      </c>
      <c r="F251" s="11" t="e">
        <f t="shared" si="11"/>
        <v>#NUM!</v>
      </c>
      <c r="G251" s="19">
        <f>$E$4-SUM($E$9:E251)</f>
        <v>0</v>
      </c>
      <c r="H251" s="494"/>
      <c r="I251" s="27"/>
    </row>
    <row r="252" spans="1:9" x14ac:dyDescent="0.15">
      <c r="A252" s="27"/>
      <c r="B252" s="490"/>
      <c r="C252" s="12">
        <v>244</v>
      </c>
      <c r="D252" s="21">
        <f t="shared" si="9"/>
        <v>42320.825913089117</v>
      </c>
      <c r="E252" s="11">
        <f t="shared" si="10"/>
        <v>0</v>
      </c>
      <c r="F252" s="11" t="e">
        <f t="shared" si="11"/>
        <v>#NUM!</v>
      </c>
      <c r="G252" s="19">
        <f>$E$4-SUM($E$9:E252)</f>
        <v>0</v>
      </c>
      <c r="H252" s="494"/>
      <c r="I252" s="27"/>
    </row>
    <row r="253" spans="1:9" x14ac:dyDescent="0.15">
      <c r="A253" s="27"/>
      <c r="B253" s="490"/>
      <c r="C253" s="12">
        <v>245</v>
      </c>
      <c r="D253" s="21">
        <f t="shared" si="9"/>
        <v>42320.825913089117</v>
      </c>
      <c r="E253" s="11">
        <f t="shared" si="10"/>
        <v>0</v>
      </c>
      <c r="F253" s="11" t="e">
        <f t="shared" si="11"/>
        <v>#NUM!</v>
      </c>
      <c r="G253" s="19">
        <f>$E$4-SUM($E$9:E253)</f>
        <v>0</v>
      </c>
      <c r="H253" s="494"/>
      <c r="I253" s="27"/>
    </row>
    <row r="254" spans="1:9" x14ac:dyDescent="0.15">
      <c r="A254" s="27"/>
      <c r="B254" s="490"/>
      <c r="C254" s="12">
        <v>246</v>
      </c>
      <c r="D254" s="21">
        <f t="shared" si="9"/>
        <v>42320.825913089117</v>
      </c>
      <c r="E254" s="11">
        <f t="shared" si="10"/>
        <v>0</v>
      </c>
      <c r="F254" s="11" t="e">
        <f t="shared" si="11"/>
        <v>#NUM!</v>
      </c>
      <c r="G254" s="19">
        <f>$E$4-SUM($E$9:E254)</f>
        <v>0</v>
      </c>
      <c r="H254" s="494"/>
      <c r="I254" s="27"/>
    </row>
    <row r="255" spans="1:9" x14ac:dyDescent="0.15">
      <c r="A255" s="27"/>
      <c r="B255" s="490"/>
      <c r="C255" s="12">
        <v>247</v>
      </c>
      <c r="D255" s="21">
        <f t="shared" si="9"/>
        <v>42320.825913089117</v>
      </c>
      <c r="E255" s="11">
        <f t="shared" si="10"/>
        <v>0</v>
      </c>
      <c r="F255" s="11" t="e">
        <f t="shared" si="11"/>
        <v>#NUM!</v>
      </c>
      <c r="G255" s="19">
        <f>$E$4-SUM($E$9:E255)</f>
        <v>0</v>
      </c>
      <c r="H255" s="494"/>
      <c r="I255" s="27"/>
    </row>
    <row r="256" spans="1:9" x14ac:dyDescent="0.15">
      <c r="A256" s="27"/>
      <c r="B256" s="490"/>
      <c r="C256" s="12">
        <v>248</v>
      </c>
      <c r="D256" s="21">
        <f t="shared" si="9"/>
        <v>42320.825913089117</v>
      </c>
      <c r="E256" s="11">
        <f t="shared" si="10"/>
        <v>0</v>
      </c>
      <c r="F256" s="11" t="e">
        <f t="shared" si="11"/>
        <v>#NUM!</v>
      </c>
      <c r="G256" s="19">
        <f>$E$4-SUM($E$9:E256)</f>
        <v>0</v>
      </c>
      <c r="H256" s="494"/>
      <c r="I256" s="27"/>
    </row>
    <row r="257" spans="1:9" x14ac:dyDescent="0.15">
      <c r="A257" s="27"/>
      <c r="B257" s="490"/>
      <c r="C257" s="12">
        <v>249</v>
      </c>
      <c r="D257" s="21">
        <f t="shared" si="9"/>
        <v>42320.825913089117</v>
      </c>
      <c r="E257" s="11">
        <f t="shared" si="10"/>
        <v>0</v>
      </c>
      <c r="F257" s="11" t="e">
        <f t="shared" si="11"/>
        <v>#NUM!</v>
      </c>
      <c r="G257" s="19">
        <f>$E$4-SUM($E$9:E257)</f>
        <v>0</v>
      </c>
      <c r="H257" s="494"/>
      <c r="I257" s="27"/>
    </row>
    <row r="258" spans="1:9" x14ac:dyDescent="0.15">
      <c r="A258" s="27"/>
      <c r="B258" s="490"/>
      <c r="C258" s="12">
        <v>250</v>
      </c>
      <c r="D258" s="21">
        <f t="shared" si="9"/>
        <v>42320.825913089117</v>
      </c>
      <c r="E258" s="11">
        <f t="shared" si="10"/>
        <v>0</v>
      </c>
      <c r="F258" s="11" t="e">
        <f t="shared" si="11"/>
        <v>#NUM!</v>
      </c>
      <c r="G258" s="19">
        <f>$E$4-SUM($E$9:E258)</f>
        <v>0</v>
      </c>
      <c r="H258" s="494"/>
      <c r="I258" s="27"/>
    </row>
    <row r="259" spans="1:9" x14ac:dyDescent="0.15">
      <c r="A259" s="27"/>
      <c r="B259" s="490"/>
      <c r="C259" s="12">
        <v>251</v>
      </c>
      <c r="D259" s="21">
        <f t="shared" si="9"/>
        <v>42320.825913089117</v>
      </c>
      <c r="E259" s="11">
        <f t="shared" si="10"/>
        <v>0</v>
      </c>
      <c r="F259" s="11" t="e">
        <f t="shared" si="11"/>
        <v>#NUM!</v>
      </c>
      <c r="G259" s="19">
        <f>$E$4-SUM($E$9:E259)</f>
        <v>0</v>
      </c>
      <c r="H259" s="494"/>
      <c r="I259" s="27"/>
    </row>
    <row r="260" spans="1:9" ht="14.25" thickBot="1" x14ac:dyDescent="0.2">
      <c r="A260" s="27"/>
      <c r="B260" s="490"/>
      <c r="C260" s="12">
        <v>252</v>
      </c>
      <c r="D260" s="21">
        <f t="shared" si="9"/>
        <v>42320.825913089117</v>
      </c>
      <c r="E260" s="11">
        <f t="shared" si="10"/>
        <v>0</v>
      </c>
      <c r="F260" s="11" t="e">
        <f t="shared" si="11"/>
        <v>#NUM!</v>
      </c>
      <c r="G260" s="19">
        <f>$E$4-SUM($E$9:E260)</f>
        <v>0</v>
      </c>
      <c r="H260" s="495"/>
      <c r="I260" s="27"/>
    </row>
    <row r="261" spans="1:9" x14ac:dyDescent="0.15">
      <c r="A261" s="27"/>
      <c r="B261" s="490" t="s">
        <v>149</v>
      </c>
      <c r="C261" s="12">
        <v>253</v>
      </c>
      <c r="D261" s="21">
        <f t="shared" si="9"/>
        <v>42320.825913089117</v>
      </c>
      <c r="E261" s="11">
        <f t="shared" si="10"/>
        <v>0</v>
      </c>
      <c r="F261" s="11" t="e">
        <f t="shared" si="11"/>
        <v>#NUM!</v>
      </c>
      <c r="G261" s="19">
        <f>$E$4-SUM($E$9:E261)</f>
        <v>0</v>
      </c>
      <c r="H261" s="496">
        <f>+G272</f>
        <v>0</v>
      </c>
      <c r="I261" s="27"/>
    </row>
    <row r="262" spans="1:9" x14ac:dyDescent="0.15">
      <c r="A262" s="27"/>
      <c r="B262" s="490"/>
      <c r="C262" s="12">
        <v>254</v>
      </c>
      <c r="D262" s="21">
        <f t="shared" si="9"/>
        <v>42320.825913089117</v>
      </c>
      <c r="E262" s="11">
        <f t="shared" si="10"/>
        <v>0</v>
      </c>
      <c r="F262" s="11" t="e">
        <f t="shared" si="11"/>
        <v>#NUM!</v>
      </c>
      <c r="G262" s="19">
        <f>$E$4-SUM($E$9:E262)</f>
        <v>0</v>
      </c>
      <c r="H262" s="494"/>
      <c r="I262" s="27"/>
    </row>
    <row r="263" spans="1:9" x14ac:dyDescent="0.15">
      <c r="A263" s="27"/>
      <c r="B263" s="490"/>
      <c r="C263" s="12">
        <v>255</v>
      </c>
      <c r="D263" s="21">
        <f t="shared" si="9"/>
        <v>42320.825913089117</v>
      </c>
      <c r="E263" s="11">
        <f t="shared" si="10"/>
        <v>0</v>
      </c>
      <c r="F263" s="11" t="e">
        <f t="shared" si="11"/>
        <v>#NUM!</v>
      </c>
      <c r="G263" s="19">
        <f>$E$4-SUM($E$9:E263)</f>
        <v>0</v>
      </c>
      <c r="H263" s="494"/>
      <c r="I263" s="27"/>
    </row>
    <row r="264" spans="1:9" x14ac:dyDescent="0.15">
      <c r="A264" s="27"/>
      <c r="B264" s="490"/>
      <c r="C264" s="12">
        <v>256</v>
      </c>
      <c r="D264" s="21">
        <f t="shared" si="9"/>
        <v>42320.825913089117</v>
      </c>
      <c r="E264" s="11">
        <f t="shared" si="10"/>
        <v>0</v>
      </c>
      <c r="F264" s="11" t="e">
        <f t="shared" si="11"/>
        <v>#NUM!</v>
      </c>
      <c r="G264" s="19">
        <f>$E$4-SUM($E$9:E264)</f>
        <v>0</v>
      </c>
      <c r="H264" s="494"/>
      <c r="I264" s="27"/>
    </row>
    <row r="265" spans="1:9" x14ac:dyDescent="0.15">
      <c r="A265" s="27"/>
      <c r="B265" s="490"/>
      <c r="C265" s="12">
        <v>257</v>
      </c>
      <c r="D265" s="21">
        <f t="shared" si="9"/>
        <v>42320.825913089117</v>
      </c>
      <c r="E265" s="11">
        <f t="shared" si="10"/>
        <v>0</v>
      </c>
      <c r="F265" s="11" t="e">
        <f t="shared" si="11"/>
        <v>#NUM!</v>
      </c>
      <c r="G265" s="19">
        <f>$E$4-SUM($E$9:E265)</f>
        <v>0</v>
      </c>
      <c r="H265" s="494"/>
      <c r="I265" s="27"/>
    </row>
    <row r="266" spans="1:9" x14ac:dyDescent="0.15">
      <c r="A266" s="27"/>
      <c r="B266" s="490"/>
      <c r="C266" s="12">
        <v>258</v>
      </c>
      <c r="D266" s="21">
        <f t="shared" ref="D266:D308" si="12">$E$7</f>
        <v>42320.825913089117</v>
      </c>
      <c r="E266" s="11">
        <f t="shared" ref="E266:E308" si="13">IF($H$4&gt;C266-1,-PPMT($G$4/12,$C266,$H$4,$E$4),0)</f>
        <v>0</v>
      </c>
      <c r="F266" s="11" t="e">
        <f t="shared" ref="F266:F308" si="14">-IPMT($G$4/12,$C266,$H$4,$E$4)</f>
        <v>#NUM!</v>
      </c>
      <c r="G266" s="19">
        <f>$E$4-SUM($E$9:E266)</f>
        <v>0</v>
      </c>
      <c r="H266" s="494"/>
      <c r="I266" s="27"/>
    </row>
    <row r="267" spans="1:9" x14ac:dyDescent="0.15">
      <c r="A267" s="27"/>
      <c r="B267" s="490"/>
      <c r="C267" s="12">
        <v>259</v>
      </c>
      <c r="D267" s="21">
        <f t="shared" si="12"/>
        <v>42320.825913089117</v>
      </c>
      <c r="E267" s="11">
        <f t="shared" si="13"/>
        <v>0</v>
      </c>
      <c r="F267" s="11" t="e">
        <f t="shared" si="14"/>
        <v>#NUM!</v>
      </c>
      <c r="G267" s="19">
        <f>$E$4-SUM($E$9:E267)</f>
        <v>0</v>
      </c>
      <c r="H267" s="494"/>
      <c r="I267" s="27"/>
    </row>
    <row r="268" spans="1:9" x14ac:dyDescent="0.15">
      <c r="A268" s="27"/>
      <c r="B268" s="490"/>
      <c r="C268" s="12">
        <v>260</v>
      </c>
      <c r="D268" s="21">
        <f t="shared" si="12"/>
        <v>42320.825913089117</v>
      </c>
      <c r="E268" s="11">
        <f t="shared" si="13"/>
        <v>0</v>
      </c>
      <c r="F268" s="11" t="e">
        <f t="shared" si="14"/>
        <v>#NUM!</v>
      </c>
      <c r="G268" s="19">
        <f>$E$4-SUM($E$9:E268)</f>
        <v>0</v>
      </c>
      <c r="H268" s="494"/>
      <c r="I268" s="27"/>
    </row>
    <row r="269" spans="1:9" x14ac:dyDescent="0.15">
      <c r="A269" s="27"/>
      <c r="B269" s="490"/>
      <c r="C269" s="12">
        <v>261</v>
      </c>
      <c r="D269" s="21">
        <f t="shared" si="12"/>
        <v>42320.825913089117</v>
      </c>
      <c r="E269" s="11">
        <f t="shared" si="13"/>
        <v>0</v>
      </c>
      <c r="F269" s="11" t="e">
        <f t="shared" si="14"/>
        <v>#NUM!</v>
      </c>
      <c r="G269" s="19">
        <f>$E$4-SUM($E$9:E269)</f>
        <v>0</v>
      </c>
      <c r="H269" s="494"/>
      <c r="I269" s="27"/>
    </row>
    <row r="270" spans="1:9" x14ac:dyDescent="0.15">
      <c r="A270" s="27"/>
      <c r="B270" s="490"/>
      <c r="C270" s="12">
        <v>262</v>
      </c>
      <c r="D270" s="21">
        <f t="shared" si="12"/>
        <v>42320.825913089117</v>
      </c>
      <c r="E270" s="11">
        <f t="shared" si="13"/>
        <v>0</v>
      </c>
      <c r="F270" s="11" t="e">
        <f t="shared" si="14"/>
        <v>#NUM!</v>
      </c>
      <c r="G270" s="19">
        <f>$E$4-SUM($E$9:E270)</f>
        <v>0</v>
      </c>
      <c r="H270" s="494"/>
      <c r="I270" s="27"/>
    </row>
    <row r="271" spans="1:9" x14ac:dyDescent="0.15">
      <c r="A271" s="27"/>
      <c r="B271" s="490"/>
      <c r="C271" s="12">
        <v>263</v>
      </c>
      <c r="D271" s="21">
        <f t="shared" si="12"/>
        <v>42320.825913089117</v>
      </c>
      <c r="E271" s="11">
        <f t="shared" si="13"/>
        <v>0</v>
      </c>
      <c r="F271" s="11" t="e">
        <f t="shared" si="14"/>
        <v>#NUM!</v>
      </c>
      <c r="G271" s="19">
        <f>$E$4-SUM($E$9:E271)</f>
        <v>0</v>
      </c>
      <c r="H271" s="494"/>
      <c r="I271" s="27"/>
    </row>
    <row r="272" spans="1:9" ht="14.25" thickBot="1" x14ac:dyDescent="0.2">
      <c r="A272" s="27"/>
      <c r="B272" s="490"/>
      <c r="C272" s="12">
        <v>264</v>
      </c>
      <c r="D272" s="21">
        <f t="shared" si="12"/>
        <v>42320.825913089117</v>
      </c>
      <c r="E272" s="11">
        <f t="shared" si="13"/>
        <v>0</v>
      </c>
      <c r="F272" s="11" t="e">
        <f t="shared" si="14"/>
        <v>#NUM!</v>
      </c>
      <c r="G272" s="19">
        <f>$E$4-SUM($E$9:E272)</f>
        <v>0</v>
      </c>
      <c r="H272" s="495"/>
      <c r="I272" s="27"/>
    </row>
    <row r="273" spans="1:9" x14ac:dyDescent="0.15">
      <c r="A273" s="27"/>
      <c r="B273" s="490" t="s">
        <v>150</v>
      </c>
      <c r="C273" s="12">
        <v>265</v>
      </c>
      <c r="D273" s="21">
        <f t="shared" si="12"/>
        <v>42320.825913089117</v>
      </c>
      <c r="E273" s="11">
        <f t="shared" si="13"/>
        <v>0</v>
      </c>
      <c r="F273" s="11" t="e">
        <f t="shared" si="14"/>
        <v>#NUM!</v>
      </c>
      <c r="G273" s="19">
        <f>$E$4-SUM($E$9:E273)</f>
        <v>0</v>
      </c>
      <c r="H273" s="496">
        <f>+G284</f>
        <v>0</v>
      </c>
      <c r="I273" s="27"/>
    </row>
    <row r="274" spans="1:9" x14ac:dyDescent="0.15">
      <c r="A274" s="27"/>
      <c r="B274" s="490"/>
      <c r="C274" s="12">
        <v>266</v>
      </c>
      <c r="D274" s="21">
        <f t="shared" si="12"/>
        <v>42320.825913089117</v>
      </c>
      <c r="E274" s="11">
        <f t="shared" si="13"/>
        <v>0</v>
      </c>
      <c r="F274" s="11" t="e">
        <f t="shared" si="14"/>
        <v>#NUM!</v>
      </c>
      <c r="G274" s="19">
        <f>$E$4-SUM($E$9:E274)</f>
        <v>0</v>
      </c>
      <c r="H274" s="494"/>
      <c r="I274" s="27"/>
    </row>
    <row r="275" spans="1:9" x14ac:dyDescent="0.15">
      <c r="A275" s="27"/>
      <c r="B275" s="490"/>
      <c r="C275" s="12">
        <v>267</v>
      </c>
      <c r="D275" s="21">
        <f t="shared" si="12"/>
        <v>42320.825913089117</v>
      </c>
      <c r="E275" s="11">
        <f t="shared" si="13"/>
        <v>0</v>
      </c>
      <c r="F275" s="11" t="e">
        <f t="shared" si="14"/>
        <v>#NUM!</v>
      </c>
      <c r="G275" s="19">
        <f>$E$4-SUM($E$9:E275)</f>
        <v>0</v>
      </c>
      <c r="H275" s="494"/>
      <c r="I275" s="27"/>
    </row>
    <row r="276" spans="1:9" x14ac:dyDescent="0.15">
      <c r="A276" s="27"/>
      <c r="B276" s="490"/>
      <c r="C276" s="12">
        <v>268</v>
      </c>
      <c r="D276" s="21">
        <f t="shared" si="12"/>
        <v>42320.825913089117</v>
      </c>
      <c r="E276" s="11">
        <f t="shared" si="13"/>
        <v>0</v>
      </c>
      <c r="F276" s="11" t="e">
        <f t="shared" si="14"/>
        <v>#NUM!</v>
      </c>
      <c r="G276" s="19">
        <f>$E$4-SUM($E$9:E276)</f>
        <v>0</v>
      </c>
      <c r="H276" s="494"/>
      <c r="I276" s="27"/>
    </row>
    <row r="277" spans="1:9" x14ac:dyDescent="0.15">
      <c r="A277" s="27"/>
      <c r="B277" s="490"/>
      <c r="C277" s="12">
        <v>269</v>
      </c>
      <c r="D277" s="21">
        <f t="shared" si="12"/>
        <v>42320.825913089117</v>
      </c>
      <c r="E277" s="11">
        <f t="shared" si="13"/>
        <v>0</v>
      </c>
      <c r="F277" s="11" t="e">
        <f t="shared" si="14"/>
        <v>#NUM!</v>
      </c>
      <c r="G277" s="19">
        <f>$E$4-SUM($E$9:E277)</f>
        <v>0</v>
      </c>
      <c r="H277" s="494"/>
      <c r="I277" s="27"/>
    </row>
    <row r="278" spans="1:9" x14ac:dyDescent="0.15">
      <c r="A278" s="27"/>
      <c r="B278" s="490"/>
      <c r="C278" s="12">
        <v>270</v>
      </c>
      <c r="D278" s="21">
        <f t="shared" si="12"/>
        <v>42320.825913089117</v>
      </c>
      <c r="E278" s="11">
        <f t="shared" si="13"/>
        <v>0</v>
      </c>
      <c r="F278" s="11" t="e">
        <f t="shared" si="14"/>
        <v>#NUM!</v>
      </c>
      <c r="G278" s="19">
        <f>$E$4-SUM($E$9:E278)</f>
        <v>0</v>
      </c>
      <c r="H278" s="494"/>
      <c r="I278" s="27"/>
    </row>
    <row r="279" spans="1:9" x14ac:dyDescent="0.15">
      <c r="A279" s="27"/>
      <c r="B279" s="490"/>
      <c r="C279" s="12">
        <v>271</v>
      </c>
      <c r="D279" s="21">
        <f t="shared" si="12"/>
        <v>42320.825913089117</v>
      </c>
      <c r="E279" s="11">
        <f t="shared" si="13"/>
        <v>0</v>
      </c>
      <c r="F279" s="11" t="e">
        <f t="shared" si="14"/>
        <v>#NUM!</v>
      </c>
      <c r="G279" s="19">
        <f>$E$4-SUM($E$9:E279)</f>
        <v>0</v>
      </c>
      <c r="H279" s="494"/>
      <c r="I279" s="27"/>
    </row>
    <row r="280" spans="1:9" x14ac:dyDescent="0.15">
      <c r="A280" s="27"/>
      <c r="B280" s="490"/>
      <c r="C280" s="12">
        <v>272</v>
      </c>
      <c r="D280" s="21">
        <f t="shared" si="12"/>
        <v>42320.825913089117</v>
      </c>
      <c r="E280" s="11">
        <f t="shared" si="13"/>
        <v>0</v>
      </c>
      <c r="F280" s="11" t="e">
        <f t="shared" si="14"/>
        <v>#NUM!</v>
      </c>
      <c r="G280" s="19">
        <f>$E$4-SUM($E$9:E280)</f>
        <v>0</v>
      </c>
      <c r="H280" s="494"/>
      <c r="I280" s="27"/>
    </row>
    <row r="281" spans="1:9" x14ac:dyDescent="0.15">
      <c r="A281" s="27"/>
      <c r="B281" s="490"/>
      <c r="C281" s="12">
        <v>273</v>
      </c>
      <c r="D281" s="21">
        <f t="shared" si="12"/>
        <v>42320.825913089117</v>
      </c>
      <c r="E281" s="11">
        <f t="shared" si="13"/>
        <v>0</v>
      </c>
      <c r="F281" s="11" t="e">
        <f t="shared" si="14"/>
        <v>#NUM!</v>
      </c>
      <c r="G281" s="19">
        <f>$E$4-SUM($E$9:E281)</f>
        <v>0</v>
      </c>
      <c r="H281" s="494"/>
      <c r="I281" s="27"/>
    </row>
    <row r="282" spans="1:9" x14ac:dyDescent="0.15">
      <c r="A282" s="27"/>
      <c r="B282" s="490"/>
      <c r="C282" s="12">
        <v>274</v>
      </c>
      <c r="D282" s="21">
        <f t="shared" si="12"/>
        <v>42320.825913089117</v>
      </c>
      <c r="E282" s="11">
        <f t="shared" si="13"/>
        <v>0</v>
      </c>
      <c r="F282" s="11" t="e">
        <f t="shared" si="14"/>
        <v>#NUM!</v>
      </c>
      <c r="G282" s="19">
        <f>$E$4-SUM($E$9:E282)</f>
        <v>0</v>
      </c>
      <c r="H282" s="494"/>
      <c r="I282" s="27"/>
    </row>
    <row r="283" spans="1:9" x14ac:dyDescent="0.15">
      <c r="A283" s="27"/>
      <c r="B283" s="490"/>
      <c r="C283" s="12">
        <v>275</v>
      </c>
      <c r="D283" s="21">
        <f t="shared" si="12"/>
        <v>42320.825913089117</v>
      </c>
      <c r="E283" s="11">
        <f t="shared" si="13"/>
        <v>0</v>
      </c>
      <c r="F283" s="11" t="e">
        <f t="shared" si="14"/>
        <v>#NUM!</v>
      </c>
      <c r="G283" s="19">
        <f>$E$4-SUM($E$9:E283)</f>
        <v>0</v>
      </c>
      <c r="H283" s="494"/>
      <c r="I283" s="27"/>
    </row>
    <row r="284" spans="1:9" ht="14.25" thickBot="1" x14ac:dyDescent="0.2">
      <c r="A284" s="27"/>
      <c r="B284" s="490"/>
      <c r="C284" s="12">
        <v>276</v>
      </c>
      <c r="D284" s="21">
        <f t="shared" si="12"/>
        <v>42320.825913089117</v>
      </c>
      <c r="E284" s="11">
        <f t="shared" si="13"/>
        <v>0</v>
      </c>
      <c r="F284" s="11" t="e">
        <f t="shared" si="14"/>
        <v>#NUM!</v>
      </c>
      <c r="G284" s="19">
        <f>$E$4-SUM($E$9:E284)</f>
        <v>0</v>
      </c>
      <c r="H284" s="495"/>
      <c r="I284" s="27"/>
    </row>
    <row r="285" spans="1:9" x14ac:dyDescent="0.15">
      <c r="A285" s="27"/>
      <c r="B285" s="490" t="s">
        <v>151</v>
      </c>
      <c r="C285" s="12">
        <v>277</v>
      </c>
      <c r="D285" s="21">
        <f t="shared" si="12"/>
        <v>42320.825913089117</v>
      </c>
      <c r="E285" s="11">
        <f t="shared" si="13"/>
        <v>0</v>
      </c>
      <c r="F285" s="11" t="e">
        <f t="shared" si="14"/>
        <v>#NUM!</v>
      </c>
      <c r="G285" s="19">
        <f>$E$4-SUM($E$9:E285)</f>
        <v>0</v>
      </c>
      <c r="H285" s="496">
        <f>+G296</f>
        <v>0</v>
      </c>
      <c r="I285" s="27"/>
    </row>
    <row r="286" spans="1:9" x14ac:dyDescent="0.15">
      <c r="A286" s="27"/>
      <c r="B286" s="490"/>
      <c r="C286" s="12">
        <v>278</v>
      </c>
      <c r="D286" s="21">
        <f t="shared" si="12"/>
        <v>42320.825913089117</v>
      </c>
      <c r="E286" s="11">
        <f t="shared" si="13"/>
        <v>0</v>
      </c>
      <c r="F286" s="11" t="e">
        <f t="shared" si="14"/>
        <v>#NUM!</v>
      </c>
      <c r="G286" s="19">
        <f>$E$4-SUM($E$9:E286)</f>
        <v>0</v>
      </c>
      <c r="H286" s="494"/>
      <c r="I286" s="27"/>
    </row>
    <row r="287" spans="1:9" x14ac:dyDescent="0.15">
      <c r="A287" s="27"/>
      <c r="B287" s="490"/>
      <c r="C287" s="12">
        <v>279</v>
      </c>
      <c r="D287" s="21">
        <f t="shared" si="12"/>
        <v>42320.825913089117</v>
      </c>
      <c r="E287" s="11">
        <f t="shared" si="13"/>
        <v>0</v>
      </c>
      <c r="F287" s="11" t="e">
        <f t="shared" si="14"/>
        <v>#NUM!</v>
      </c>
      <c r="G287" s="19">
        <f>$E$4-SUM($E$9:E287)</f>
        <v>0</v>
      </c>
      <c r="H287" s="494"/>
      <c r="I287" s="27"/>
    </row>
    <row r="288" spans="1:9" x14ac:dyDescent="0.15">
      <c r="A288" s="27"/>
      <c r="B288" s="490"/>
      <c r="C288" s="12">
        <v>280</v>
      </c>
      <c r="D288" s="21">
        <f t="shared" si="12"/>
        <v>42320.825913089117</v>
      </c>
      <c r="E288" s="11">
        <f t="shared" si="13"/>
        <v>0</v>
      </c>
      <c r="F288" s="11" t="e">
        <f t="shared" si="14"/>
        <v>#NUM!</v>
      </c>
      <c r="G288" s="19">
        <f>$E$4-SUM($E$9:E288)</f>
        <v>0</v>
      </c>
      <c r="H288" s="494"/>
      <c r="I288" s="27"/>
    </row>
    <row r="289" spans="1:9" x14ac:dyDescent="0.15">
      <c r="A289" s="27"/>
      <c r="B289" s="490"/>
      <c r="C289" s="12">
        <v>281</v>
      </c>
      <c r="D289" s="21">
        <f t="shared" si="12"/>
        <v>42320.825913089117</v>
      </c>
      <c r="E289" s="11">
        <f t="shared" si="13"/>
        <v>0</v>
      </c>
      <c r="F289" s="11" t="e">
        <f t="shared" si="14"/>
        <v>#NUM!</v>
      </c>
      <c r="G289" s="19">
        <f>$E$4-SUM($E$9:E289)</f>
        <v>0</v>
      </c>
      <c r="H289" s="494"/>
      <c r="I289" s="27"/>
    </row>
    <row r="290" spans="1:9" x14ac:dyDescent="0.15">
      <c r="A290" s="27"/>
      <c r="B290" s="490"/>
      <c r="C290" s="12">
        <v>282</v>
      </c>
      <c r="D290" s="21">
        <f t="shared" si="12"/>
        <v>42320.825913089117</v>
      </c>
      <c r="E290" s="11">
        <f t="shared" si="13"/>
        <v>0</v>
      </c>
      <c r="F290" s="11" t="e">
        <f t="shared" si="14"/>
        <v>#NUM!</v>
      </c>
      <c r="G290" s="19">
        <f>$E$4-SUM($E$9:E290)</f>
        <v>0</v>
      </c>
      <c r="H290" s="494"/>
      <c r="I290" s="27"/>
    </row>
    <row r="291" spans="1:9" x14ac:dyDescent="0.15">
      <c r="A291" s="27"/>
      <c r="B291" s="490"/>
      <c r="C291" s="12">
        <v>283</v>
      </c>
      <c r="D291" s="21">
        <f t="shared" si="12"/>
        <v>42320.825913089117</v>
      </c>
      <c r="E291" s="11">
        <f t="shared" si="13"/>
        <v>0</v>
      </c>
      <c r="F291" s="11" t="e">
        <f t="shared" si="14"/>
        <v>#NUM!</v>
      </c>
      <c r="G291" s="19">
        <f>$E$4-SUM($E$9:E291)</f>
        <v>0</v>
      </c>
      <c r="H291" s="494"/>
      <c r="I291" s="27"/>
    </row>
    <row r="292" spans="1:9" x14ac:dyDescent="0.15">
      <c r="A292" s="27"/>
      <c r="B292" s="490"/>
      <c r="C292" s="12">
        <v>284</v>
      </c>
      <c r="D292" s="21">
        <f t="shared" si="12"/>
        <v>42320.825913089117</v>
      </c>
      <c r="E292" s="11">
        <f t="shared" si="13"/>
        <v>0</v>
      </c>
      <c r="F292" s="11" t="e">
        <f t="shared" si="14"/>
        <v>#NUM!</v>
      </c>
      <c r="G292" s="19">
        <f>$E$4-SUM($E$9:E292)</f>
        <v>0</v>
      </c>
      <c r="H292" s="494"/>
      <c r="I292" s="27"/>
    </row>
    <row r="293" spans="1:9" x14ac:dyDescent="0.15">
      <c r="A293" s="27"/>
      <c r="B293" s="490"/>
      <c r="C293" s="12">
        <v>285</v>
      </c>
      <c r="D293" s="21">
        <f t="shared" si="12"/>
        <v>42320.825913089117</v>
      </c>
      <c r="E293" s="11">
        <f t="shared" si="13"/>
        <v>0</v>
      </c>
      <c r="F293" s="11" t="e">
        <f t="shared" si="14"/>
        <v>#NUM!</v>
      </c>
      <c r="G293" s="19">
        <f>$E$4-SUM($E$9:E293)</f>
        <v>0</v>
      </c>
      <c r="H293" s="494"/>
      <c r="I293" s="27"/>
    </row>
    <row r="294" spans="1:9" x14ac:dyDescent="0.15">
      <c r="A294" s="27"/>
      <c r="B294" s="490"/>
      <c r="C294" s="12">
        <v>286</v>
      </c>
      <c r="D294" s="21">
        <f t="shared" si="12"/>
        <v>42320.825913089117</v>
      </c>
      <c r="E294" s="11">
        <f t="shared" si="13"/>
        <v>0</v>
      </c>
      <c r="F294" s="11" t="e">
        <f t="shared" si="14"/>
        <v>#NUM!</v>
      </c>
      <c r="G294" s="19">
        <f>$E$4-SUM($E$9:E294)</f>
        <v>0</v>
      </c>
      <c r="H294" s="494"/>
      <c r="I294" s="27"/>
    </row>
    <row r="295" spans="1:9" x14ac:dyDescent="0.15">
      <c r="A295" s="27"/>
      <c r="B295" s="490"/>
      <c r="C295" s="12">
        <v>287</v>
      </c>
      <c r="D295" s="21">
        <f t="shared" si="12"/>
        <v>42320.825913089117</v>
      </c>
      <c r="E295" s="11">
        <f t="shared" si="13"/>
        <v>0</v>
      </c>
      <c r="F295" s="11" t="e">
        <f t="shared" si="14"/>
        <v>#NUM!</v>
      </c>
      <c r="G295" s="19">
        <f>$E$4-SUM($E$9:E295)</f>
        <v>0</v>
      </c>
      <c r="H295" s="494"/>
      <c r="I295" s="27"/>
    </row>
    <row r="296" spans="1:9" ht="14.25" thickBot="1" x14ac:dyDescent="0.2">
      <c r="A296" s="27"/>
      <c r="B296" s="490"/>
      <c r="C296" s="12">
        <v>288</v>
      </c>
      <c r="D296" s="21">
        <f t="shared" si="12"/>
        <v>42320.825913089117</v>
      </c>
      <c r="E296" s="11">
        <f t="shared" si="13"/>
        <v>0</v>
      </c>
      <c r="F296" s="11" t="e">
        <f t="shared" si="14"/>
        <v>#NUM!</v>
      </c>
      <c r="G296" s="19">
        <f>$E$4-SUM($E$9:E296)</f>
        <v>0</v>
      </c>
      <c r="H296" s="495"/>
      <c r="I296" s="27"/>
    </row>
    <row r="297" spans="1:9" x14ac:dyDescent="0.15">
      <c r="A297" s="27"/>
      <c r="B297" s="490" t="s">
        <v>152</v>
      </c>
      <c r="C297" s="12">
        <v>289</v>
      </c>
      <c r="D297" s="21">
        <f t="shared" si="12"/>
        <v>42320.825913089117</v>
      </c>
      <c r="E297" s="11">
        <f t="shared" si="13"/>
        <v>0</v>
      </c>
      <c r="F297" s="11" t="e">
        <f t="shared" si="14"/>
        <v>#NUM!</v>
      </c>
      <c r="G297" s="19">
        <f>$E$4-SUM($E$9:E297)</f>
        <v>0</v>
      </c>
      <c r="H297" s="496">
        <f>+G308</f>
        <v>0</v>
      </c>
      <c r="I297" s="27"/>
    </row>
    <row r="298" spans="1:9" x14ac:dyDescent="0.15">
      <c r="A298" s="27"/>
      <c r="B298" s="490"/>
      <c r="C298" s="12">
        <v>290</v>
      </c>
      <c r="D298" s="21">
        <f t="shared" si="12"/>
        <v>42320.825913089117</v>
      </c>
      <c r="E298" s="11">
        <f t="shared" si="13"/>
        <v>0</v>
      </c>
      <c r="F298" s="11" t="e">
        <f t="shared" si="14"/>
        <v>#NUM!</v>
      </c>
      <c r="G298" s="19">
        <f>$E$4-SUM($E$9:E298)</f>
        <v>0</v>
      </c>
      <c r="H298" s="494"/>
      <c r="I298" s="27"/>
    </row>
    <row r="299" spans="1:9" x14ac:dyDescent="0.15">
      <c r="A299" s="27"/>
      <c r="B299" s="490"/>
      <c r="C299" s="12">
        <v>291</v>
      </c>
      <c r="D299" s="21">
        <f t="shared" si="12"/>
        <v>42320.825913089117</v>
      </c>
      <c r="E299" s="11">
        <f t="shared" si="13"/>
        <v>0</v>
      </c>
      <c r="F299" s="11" t="e">
        <f t="shared" si="14"/>
        <v>#NUM!</v>
      </c>
      <c r="G299" s="19">
        <f>$E$4-SUM($E$9:E299)</f>
        <v>0</v>
      </c>
      <c r="H299" s="494"/>
      <c r="I299" s="27"/>
    </row>
    <row r="300" spans="1:9" x14ac:dyDescent="0.15">
      <c r="A300" s="27"/>
      <c r="B300" s="490"/>
      <c r="C300" s="12">
        <v>292</v>
      </c>
      <c r="D300" s="21">
        <f t="shared" si="12"/>
        <v>42320.825913089117</v>
      </c>
      <c r="E300" s="11">
        <f t="shared" si="13"/>
        <v>0</v>
      </c>
      <c r="F300" s="11" t="e">
        <f t="shared" si="14"/>
        <v>#NUM!</v>
      </c>
      <c r="G300" s="19">
        <f>$E$4-SUM($E$9:E300)</f>
        <v>0</v>
      </c>
      <c r="H300" s="494"/>
      <c r="I300" s="27"/>
    </row>
    <row r="301" spans="1:9" x14ac:dyDescent="0.15">
      <c r="A301" s="27"/>
      <c r="B301" s="490"/>
      <c r="C301" s="12">
        <v>293</v>
      </c>
      <c r="D301" s="21">
        <f t="shared" si="12"/>
        <v>42320.825913089117</v>
      </c>
      <c r="E301" s="11">
        <f t="shared" si="13"/>
        <v>0</v>
      </c>
      <c r="F301" s="11" t="e">
        <f t="shared" si="14"/>
        <v>#NUM!</v>
      </c>
      <c r="G301" s="19">
        <f>$E$4-SUM($E$9:E301)</f>
        <v>0</v>
      </c>
      <c r="H301" s="494"/>
      <c r="I301" s="27"/>
    </row>
    <row r="302" spans="1:9" x14ac:dyDescent="0.15">
      <c r="A302" s="27"/>
      <c r="B302" s="490"/>
      <c r="C302" s="12">
        <v>294</v>
      </c>
      <c r="D302" s="21">
        <f t="shared" si="12"/>
        <v>42320.825913089117</v>
      </c>
      <c r="E302" s="11">
        <f t="shared" si="13"/>
        <v>0</v>
      </c>
      <c r="F302" s="11" t="e">
        <f t="shared" si="14"/>
        <v>#NUM!</v>
      </c>
      <c r="G302" s="19">
        <f>$E$4-SUM($E$9:E302)</f>
        <v>0</v>
      </c>
      <c r="H302" s="494"/>
      <c r="I302" s="27"/>
    </row>
    <row r="303" spans="1:9" x14ac:dyDescent="0.15">
      <c r="A303" s="27"/>
      <c r="B303" s="490"/>
      <c r="C303" s="12">
        <v>295</v>
      </c>
      <c r="D303" s="21">
        <f t="shared" si="12"/>
        <v>42320.825913089117</v>
      </c>
      <c r="E303" s="11">
        <f t="shared" si="13"/>
        <v>0</v>
      </c>
      <c r="F303" s="11" t="e">
        <f t="shared" si="14"/>
        <v>#NUM!</v>
      </c>
      <c r="G303" s="19">
        <f>$E$4-SUM($E$9:E303)</f>
        <v>0</v>
      </c>
      <c r="H303" s="494"/>
      <c r="I303" s="27"/>
    </row>
    <row r="304" spans="1:9" x14ac:dyDescent="0.15">
      <c r="A304" s="27"/>
      <c r="B304" s="490"/>
      <c r="C304" s="12">
        <v>296</v>
      </c>
      <c r="D304" s="21">
        <f t="shared" si="12"/>
        <v>42320.825913089117</v>
      </c>
      <c r="E304" s="11">
        <f t="shared" si="13"/>
        <v>0</v>
      </c>
      <c r="F304" s="11" t="e">
        <f t="shared" si="14"/>
        <v>#NUM!</v>
      </c>
      <c r="G304" s="19">
        <f>$E$4-SUM($E$9:E304)</f>
        <v>0</v>
      </c>
      <c r="H304" s="494"/>
      <c r="I304" s="27"/>
    </row>
    <row r="305" spans="1:9" x14ac:dyDescent="0.15">
      <c r="A305" s="27"/>
      <c r="B305" s="490"/>
      <c r="C305" s="12">
        <v>297</v>
      </c>
      <c r="D305" s="21">
        <f t="shared" si="12"/>
        <v>42320.825913089117</v>
      </c>
      <c r="E305" s="11">
        <f t="shared" si="13"/>
        <v>0</v>
      </c>
      <c r="F305" s="11" t="e">
        <f t="shared" si="14"/>
        <v>#NUM!</v>
      </c>
      <c r="G305" s="19">
        <f>$E$4-SUM($E$9:E305)</f>
        <v>0</v>
      </c>
      <c r="H305" s="494"/>
      <c r="I305" s="27"/>
    </row>
    <row r="306" spans="1:9" x14ac:dyDescent="0.15">
      <c r="A306" s="27"/>
      <c r="B306" s="490"/>
      <c r="C306" s="12">
        <v>298</v>
      </c>
      <c r="D306" s="21">
        <f t="shared" si="12"/>
        <v>42320.825913089117</v>
      </c>
      <c r="E306" s="11">
        <f t="shared" si="13"/>
        <v>0</v>
      </c>
      <c r="F306" s="11" t="e">
        <f t="shared" si="14"/>
        <v>#NUM!</v>
      </c>
      <c r="G306" s="19">
        <f>$E$4-SUM($E$9:E306)</f>
        <v>0</v>
      </c>
      <c r="H306" s="494"/>
      <c r="I306" s="27"/>
    </row>
    <row r="307" spans="1:9" x14ac:dyDescent="0.15">
      <c r="A307" s="27"/>
      <c r="B307" s="490"/>
      <c r="C307" s="12">
        <v>299</v>
      </c>
      <c r="D307" s="21">
        <f t="shared" si="12"/>
        <v>42320.825913089117</v>
      </c>
      <c r="E307" s="11">
        <f t="shared" si="13"/>
        <v>0</v>
      </c>
      <c r="F307" s="11" t="e">
        <f t="shared" si="14"/>
        <v>#NUM!</v>
      </c>
      <c r="G307" s="19">
        <f>$E$4-SUM($E$9:E307)</f>
        <v>0</v>
      </c>
      <c r="H307" s="494"/>
      <c r="I307" s="27"/>
    </row>
    <row r="308" spans="1:9" ht="14.25" thickBot="1" x14ac:dyDescent="0.2">
      <c r="A308" s="27"/>
      <c r="B308" s="490"/>
      <c r="C308" s="12">
        <v>300</v>
      </c>
      <c r="D308" s="21">
        <f t="shared" si="12"/>
        <v>42320.825913089117</v>
      </c>
      <c r="E308" s="11">
        <f t="shared" si="13"/>
        <v>0</v>
      </c>
      <c r="F308" s="11" t="e">
        <f t="shared" si="14"/>
        <v>#NUM!</v>
      </c>
      <c r="G308" s="19">
        <f>$E$4-SUM($E$9:E308)</f>
        <v>0</v>
      </c>
      <c r="H308" s="495"/>
      <c r="I308" s="27"/>
    </row>
    <row r="309" spans="1:9" x14ac:dyDescent="0.15">
      <c r="A309" s="27"/>
      <c r="B309" s="27"/>
      <c r="C309" s="27"/>
      <c r="D309" s="27"/>
      <c r="E309" s="27"/>
      <c r="F309" s="27"/>
      <c r="G309" s="27"/>
      <c r="H309" s="27"/>
      <c r="I309" s="27"/>
    </row>
  </sheetData>
  <sheetProtection password="DB61" sheet="1"/>
  <mergeCells count="52">
    <mergeCell ref="C3:D4"/>
    <mergeCell ref="C6:D7"/>
    <mergeCell ref="B9:B20"/>
    <mergeCell ref="H9:H20"/>
    <mergeCell ref="B69:B80"/>
    <mergeCell ref="H69:H80"/>
    <mergeCell ref="B57:B68"/>
    <mergeCell ref="H57:H68"/>
    <mergeCell ref="B21:B32"/>
    <mergeCell ref="H21:H32"/>
    <mergeCell ref="B33:B44"/>
    <mergeCell ref="H33:H44"/>
    <mergeCell ref="B45:B56"/>
    <mergeCell ref="H45:H56"/>
    <mergeCell ref="B141:B152"/>
    <mergeCell ref="H141:H152"/>
    <mergeCell ref="B81:B92"/>
    <mergeCell ref="H81:H92"/>
    <mergeCell ref="B105:B116"/>
    <mergeCell ref="H105:H116"/>
    <mergeCell ref="B117:B128"/>
    <mergeCell ref="H117:H128"/>
    <mergeCell ref="B129:B140"/>
    <mergeCell ref="H129:H140"/>
    <mergeCell ref="B93:B104"/>
    <mergeCell ref="H93:H104"/>
    <mergeCell ref="B153:B164"/>
    <mergeCell ref="H153:H164"/>
    <mergeCell ref="B189:B200"/>
    <mergeCell ref="H189:H200"/>
    <mergeCell ref="B165:B176"/>
    <mergeCell ref="H165:H176"/>
    <mergeCell ref="B177:B188"/>
    <mergeCell ref="H177:H188"/>
    <mergeCell ref="B297:B308"/>
    <mergeCell ref="H297:H308"/>
    <mergeCell ref="B273:B284"/>
    <mergeCell ref="H273:H284"/>
    <mergeCell ref="B285:B296"/>
    <mergeCell ref="H285:H296"/>
    <mergeCell ref="B261:B272"/>
    <mergeCell ref="H261:H272"/>
    <mergeCell ref="B201:B212"/>
    <mergeCell ref="H201:H212"/>
    <mergeCell ref="B237:B248"/>
    <mergeCell ref="H237:H248"/>
    <mergeCell ref="B225:B236"/>
    <mergeCell ref="H225:H236"/>
    <mergeCell ref="B249:B260"/>
    <mergeCell ref="H249:H260"/>
    <mergeCell ref="B213:B224"/>
    <mergeCell ref="H213:H224"/>
  </mergeCells>
  <phoneticPr fontId="19"/>
  <pageMargins left="0.7" right="0.7" top="0.75" bottom="0.75" header="0.3" footer="0.3"/>
  <pageSetup paperSize="9" scale="80" orientation="portrait" horizontalDpi="300" verticalDpi="300" r:id="rId1"/>
  <rowBreaks count="4" manualBreakCount="4">
    <brk id="68" max="16383" man="1"/>
    <brk id="128" max="16383" man="1"/>
    <brk id="188" max="16383" man="1"/>
    <brk id="248" max="16383" man="1"/>
  </rowBreaks>
  <ignoredErrors>
    <ignoredError sqref="G29"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zoomScaleNormal="100" workbookViewId="0">
      <selection activeCell="Q4" sqref="Q4"/>
    </sheetView>
  </sheetViews>
  <sheetFormatPr defaultRowHeight="13.5" x14ac:dyDescent="0.15"/>
  <cols>
    <col min="1" max="1" width="2.5" style="306" customWidth="1"/>
    <col min="2" max="2" width="5.625" style="306" customWidth="1"/>
    <col min="3" max="3" width="4.5" style="306" customWidth="1"/>
    <col min="4" max="5" width="5.625" style="306" customWidth="1"/>
    <col min="6" max="6" width="5.625" style="348" customWidth="1"/>
    <col min="7" max="9" width="5.625" style="306" customWidth="1"/>
    <col min="10" max="10" width="6.875" style="306" customWidth="1"/>
    <col min="11" max="11" width="5.125" style="306" bestFit="1" customWidth="1"/>
    <col min="12" max="12" width="2.5" style="306" customWidth="1"/>
    <col min="13" max="13" width="4.375" style="306" customWidth="1"/>
    <col min="14" max="14" width="4.875" style="306" customWidth="1"/>
    <col min="15" max="15" width="6.875" style="306" customWidth="1"/>
    <col min="16" max="16" width="9.625" style="306" customWidth="1"/>
    <col min="17" max="17" width="16.5" style="306" bestFit="1" customWidth="1"/>
    <col min="18" max="18" width="7.5" style="306" customWidth="1"/>
    <col min="19" max="19" width="1.75" style="306" customWidth="1"/>
    <col min="20" max="16384" width="9" style="306"/>
  </cols>
  <sheetData>
    <row r="1" spans="1:33" ht="15" thickTop="1" thickBot="1" x14ac:dyDescent="0.2">
      <c r="A1" s="302" t="s">
        <v>167</v>
      </c>
      <c r="B1" s="303"/>
      <c r="C1" s="303"/>
      <c r="D1" s="303"/>
      <c r="E1" s="303"/>
      <c r="F1" s="304"/>
      <c r="G1" s="303"/>
      <c r="H1" s="303"/>
      <c r="I1" s="303"/>
      <c r="J1" s="303"/>
      <c r="K1" s="303"/>
      <c r="L1" s="303"/>
      <c r="M1" s="303"/>
      <c r="N1" s="303"/>
      <c r="O1" s="303"/>
      <c r="P1" s="303"/>
      <c r="Q1" s="305"/>
      <c r="R1" s="303"/>
      <c r="Y1" s="502" t="s">
        <v>260</v>
      </c>
      <c r="Z1" s="503"/>
      <c r="AA1" s="497" t="s">
        <v>43</v>
      </c>
      <c r="AB1" s="498"/>
      <c r="AC1" s="497" t="s">
        <v>40</v>
      </c>
      <c r="AD1" s="498"/>
      <c r="AE1" s="497" t="s">
        <v>41</v>
      </c>
      <c r="AF1" s="498"/>
      <c r="AG1" s="307" t="s">
        <v>46</v>
      </c>
    </row>
    <row r="2" spans="1:33" ht="15" thickTop="1" thickBot="1" x14ac:dyDescent="0.2">
      <c r="A2" s="303"/>
      <c r="B2" s="303"/>
      <c r="C2" s="303"/>
      <c r="D2" s="303"/>
      <c r="E2" s="303"/>
      <c r="F2" s="304"/>
      <c r="G2" s="303"/>
      <c r="H2" s="303"/>
      <c r="I2" s="303"/>
      <c r="J2" s="303"/>
      <c r="K2" s="303"/>
      <c r="L2" s="303"/>
      <c r="M2" s="303"/>
      <c r="N2" s="303"/>
      <c r="O2" s="303"/>
      <c r="P2" s="303"/>
      <c r="Q2" s="308"/>
      <c r="R2" s="303"/>
      <c r="Y2" s="504"/>
      <c r="Z2" s="505"/>
      <c r="AA2" s="307" t="s">
        <v>48</v>
      </c>
      <c r="AB2" s="307" t="s">
        <v>212</v>
      </c>
      <c r="AC2" s="309" t="s">
        <v>48</v>
      </c>
      <c r="AD2" s="307" t="s">
        <v>49</v>
      </c>
      <c r="AE2" s="307" t="s">
        <v>48</v>
      </c>
      <c r="AF2" s="307" t="s">
        <v>49</v>
      </c>
      <c r="AG2" s="307" t="s">
        <v>49</v>
      </c>
    </row>
    <row r="3" spans="1:33" ht="15" thickTop="1" thickBot="1" x14ac:dyDescent="0.2">
      <c r="A3" s="303"/>
      <c r="B3" s="303"/>
      <c r="C3" s="303"/>
      <c r="D3" s="303"/>
      <c r="E3" s="310" t="s">
        <v>38</v>
      </c>
      <c r="F3" s="311">
        <f>IF(シート１!M16="子",シート１!M17,"")</f>
        <v>12</v>
      </c>
      <c r="G3" s="312" t="s">
        <v>39</v>
      </c>
      <c r="H3" s="303"/>
      <c r="I3" s="303"/>
      <c r="J3" s="303"/>
      <c r="K3" s="303"/>
      <c r="L3" s="303"/>
      <c r="M3" s="303"/>
      <c r="N3" s="303"/>
      <c r="O3" s="303"/>
      <c r="P3" s="303"/>
      <c r="Q3" s="308"/>
      <c r="R3" s="303"/>
      <c r="Y3" s="497">
        <v>2021</v>
      </c>
      <c r="Z3" s="498"/>
      <c r="AA3" s="313">
        <f>IF($F$3="",0,+F3)</f>
        <v>12</v>
      </c>
      <c r="AB3" s="314">
        <f>VLOOKUP(AA3,$T$8:$W$26,3,1)</f>
        <v>48</v>
      </c>
      <c r="AC3" s="313">
        <f>IF($F$4="",0,+F4)</f>
        <v>0</v>
      </c>
      <c r="AD3" s="314">
        <f>VLOOKUP(AC3,$T$8:$W$27,3,1)</f>
        <v>0</v>
      </c>
      <c r="AE3" s="313">
        <f>IF($F$5="",0,+F5)</f>
        <v>0</v>
      </c>
      <c r="AF3" s="314">
        <f>VLOOKUP(AE3,$T$8:$W$27,3,1)</f>
        <v>0</v>
      </c>
      <c r="AG3" s="314">
        <f>+AB3+AD3+AF3</f>
        <v>48</v>
      </c>
    </row>
    <row r="4" spans="1:33" ht="15" thickTop="1" thickBot="1" x14ac:dyDescent="0.2">
      <c r="A4" s="303"/>
      <c r="B4" s="303"/>
      <c r="C4" s="303"/>
      <c r="D4" s="303"/>
      <c r="E4" s="310" t="s">
        <v>40</v>
      </c>
      <c r="F4" s="311">
        <f>IF(シート１!N16="子",シート１!N17,"")</f>
        <v>0</v>
      </c>
      <c r="G4" s="312" t="s">
        <v>39</v>
      </c>
      <c r="H4" s="303"/>
      <c r="I4" s="303"/>
      <c r="J4" s="303"/>
      <c r="K4" s="303"/>
      <c r="L4" s="303"/>
      <c r="M4" s="303"/>
      <c r="N4" s="303"/>
      <c r="O4" s="303"/>
      <c r="P4" s="303"/>
      <c r="Q4" s="315"/>
      <c r="R4" s="303"/>
      <c r="Y4" s="497">
        <v>2022</v>
      </c>
      <c r="Z4" s="498"/>
      <c r="AA4" s="313">
        <f>IF($F$3="",0,+AA3+1)</f>
        <v>13</v>
      </c>
      <c r="AB4" s="314">
        <f>VLOOKUP(AA4,$T$8:$W$26,3,1)</f>
        <v>48</v>
      </c>
      <c r="AC4" s="316">
        <f>IF($F$4="",0,+AC3+1)</f>
        <v>1</v>
      </c>
      <c r="AD4" s="314">
        <f t="shared" ref="AD4:AD31" si="0">VLOOKUP(AC4,$T$8:$W$27,3,1)</f>
        <v>24</v>
      </c>
      <c r="AE4" s="314">
        <f>IF($F$5="",0,+AE3+1)</f>
        <v>0</v>
      </c>
      <c r="AF4" s="314">
        <f t="shared" ref="AF4:AF31" si="1">VLOOKUP(AE4,$T$8:$W$27,3,1)</f>
        <v>0</v>
      </c>
      <c r="AG4" s="314">
        <f t="shared" ref="AG4:AG31" si="2">+AB4+AD4+AF4</f>
        <v>72</v>
      </c>
    </row>
    <row r="5" spans="1:33" ht="15" thickTop="1" thickBot="1" x14ac:dyDescent="0.2">
      <c r="A5" s="303"/>
      <c r="B5" s="303"/>
      <c r="C5" s="303"/>
      <c r="D5" s="303"/>
      <c r="E5" s="310" t="s">
        <v>41</v>
      </c>
      <c r="F5" s="311" t="str">
        <f>IF(シート１!O16="子",シート１!O17,"")</f>
        <v/>
      </c>
      <c r="G5" s="312" t="s">
        <v>39</v>
      </c>
      <c r="H5" s="303"/>
      <c r="I5" s="303"/>
      <c r="J5" s="303"/>
      <c r="K5" s="303"/>
      <c r="L5" s="303"/>
      <c r="M5" s="303"/>
      <c r="N5" s="303"/>
      <c r="O5" s="303"/>
      <c r="P5" s="303"/>
      <c r="Q5" s="303"/>
      <c r="R5" s="303"/>
      <c r="Y5" s="497">
        <v>2023</v>
      </c>
      <c r="Z5" s="498"/>
      <c r="AA5" s="314">
        <f t="shared" ref="AA5:AA31" si="3">IF($F$3="",0,+AA4+1)</f>
        <v>14</v>
      </c>
      <c r="AB5" s="314">
        <f>VLOOKUP(AA5,$T$8:$W$26,3,1)</f>
        <v>73</v>
      </c>
      <c r="AC5" s="316">
        <f t="shared" ref="AC5:AC31" si="4">IF($F$4="",0,+AC4+1)</f>
        <v>2</v>
      </c>
      <c r="AD5" s="314">
        <f t="shared" si="0"/>
        <v>24</v>
      </c>
      <c r="AE5" s="314">
        <f t="shared" ref="AE5:AE31" si="5">IF($F$5="",0,+AE4+1)</f>
        <v>0</v>
      </c>
      <c r="AF5" s="314">
        <f t="shared" si="1"/>
        <v>0</v>
      </c>
      <c r="AG5" s="314">
        <f t="shared" si="2"/>
        <v>97</v>
      </c>
    </row>
    <row r="6" spans="1:33" ht="15" thickTop="1" thickBot="1" x14ac:dyDescent="0.2">
      <c r="A6" s="303"/>
      <c r="B6" s="303" t="s">
        <v>113</v>
      </c>
      <c r="C6" s="303"/>
      <c r="D6" s="303"/>
      <c r="E6" s="303"/>
      <c r="F6" s="317"/>
      <c r="G6" s="303"/>
      <c r="H6" s="303"/>
      <c r="I6" s="303" t="s">
        <v>42</v>
      </c>
      <c r="J6" s="303"/>
      <c r="K6" s="303"/>
      <c r="L6" s="303"/>
      <c r="M6" s="318" t="s">
        <v>114</v>
      </c>
      <c r="N6" s="319"/>
      <c r="O6" s="319"/>
      <c r="P6" s="319"/>
      <c r="Q6" s="303"/>
      <c r="R6" s="303"/>
      <c r="T6" s="355" t="s">
        <v>276</v>
      </c>
      <c r="U6" s="355"/>
      <c r="V6" s="355"/>
      <c r="W6" s="355"/>
      <c r="Y6" s="497">
        <v>2024</v>
      </c>
      <c r="Z6" s="498"/>
      <c r="AA6" s="314">
        <f t="shared" si="3"/>
        <v>15</v>
      </c>
      <c r="AB6" s="314">
        <f>VLOOKUP(AA6,$T$8:$W$26,3,1)</f>
        <v>60</v>
      </c>
      <c r="AC6" s="316">
        <f t="shared" si="4"/>
        <v>3</v>
      </c>
      <c r="AD6" s="314">
        <f t="shared" si="0"/>
        <v>24</v>
      </c>
      <c r="AE6" s="314">
        <f t="shared" si="5"/>
        <v>0</v>
      </c>
      <c r="AF6" s="314">
        <f t="shared" si="1"/>
        <v>0</v>
      </c>
      <c r="AG6" s="314">
        <f t="shared" si="2"/>
        <v>84</v>
      </c>
    </row>
    <row r="7" spans="1:33" ht="55.5" thickTop="1" thickBot="1" x14ac:dyDescent="0.2">
      <c r="A7" s="303"/>
      <c r="B7" s="506"/>
      <c r="C7" s="507"/>
      <c r="D7" s="510" t="s">
        <v>43</v>
      </c>
      <c r="E7" s="511"/>
      <c r="F7" s="510" t="s">
        <v>44</v>
      </c>
      <c r="G7" s="511"/>
      <c r="H7" s="510" t="s">
        <v>45</v>
      </c>
      <c r="I7" s="511"/>
      <c r="J7" s="320" t="s">
        <v>46</v>
      </c>
      <c r="K7" s="352" t="s">
        <v>168</v>
      </c>
      <c r="L7" s="321"/>
      <c r="M7" s="322" t="s">
        <v>47</v>
      </c>
      <c r="N7" s="357" t="s">
        <v>85</v>
      </c>
      <c r="O7" s="323" t="s">
        <v>104</v>
      </c>
      <c r="P7" s="322" t="s">
        <v>102</v>
      </c>
      <c r="Q7" s="322" t="s">
        <v>84</v>
      </c>
      <c r="R7" s="303"/>
      <c r="T7" s="356" t="s">
        <v>47</v>
      </c>
      <c r="U7" s="357" t="s">
        <v>85</v>
      </c>
      <c r="V7" s="357" t="s">
        <v>104</v>
      </c>
      <c r="W7" s="356" t="s">
        <v>102</v>
      </c>
      <c r="Y7" s="497">
        <v>2025</v>
      </c>
      <c r="Z7" s="498"/>
      <c r="AA7" s="314">
        <f t="shared" si="3"/>
        <v>16</v>
      </c>
      <c r="AB7" s="314">
        <f>VLOOKUP(AA7,$T$8:$W$26,3,1)</f>
        <v>60</v>
      </c>
      <c r="AC7" s="316">
        <f t="shared" si="4"/>
        <v>4</v>
      </c>
      <c r="AD7" s="314">
        <f t="shared" si="0"/>
        <v>24</v>
      </c>
      <c r="AE7" s="314">
        <f t="shared" si="5"/>
        <v>0</v>
      </c>
      <c r="AF7" s="314">
        <f t="shared" si="1"/>
        <v>0</v>
      </c>
      <c r="AG7" s="314">
        <f t="shared" si="2"/>
        <v>84</v>
      </c>
    </row>
    <row r="8" spans="1:33" ht="15" thickTop="1" thickBot="1" x14ac:dyDescent="0.2">
      <c r="A8" s="303"/>
      <c r="B8" s="508"/>
      <c r="C8" s="509"/>
      <c r="D8" s="320" t="s">
        <v>48</v>
      </c>
      <c r="E8" s="324" t="s">
        <v>49</v>
      </c>
      <c r="F8" s="325" t="s">
        <v>48</v>
      </c>
      <c r="G8" s="324" t="s">
        <v>49</v>
      </c>
      <c r="H8" s="324" t="s">
        <v>48</v>
      </c>
      <c r="I8" s="324" t="s">
        <v>49</v>
      </c>
      <c r="J8" s="320" t="s">
        <v>49</v>
      </c>
      <c r="K8" s="353"/>
      <c r="L8" s="321"/>
      <c r="M8" s="326">
        <v>0</v>
      </c>
      <c r="N8" s="326">
        <v>0</v>
      </c>
      <c r="O8" s="349">
        <v>0</v>
      </c>
      <c r="P8" s="322" t="s">
        <v>101</v>
      </c>
      <c r="Q8" s="327" t="s">
        <v>261</v>
      </c>
      <c r="R8" s="303"/>
      <c r="T8" s="326">
        <v>0</v>
      </c>
      <c r="U8" s="326">
        <v>0</v>
      </c>
      <c r="V8" s="349">
        <v>0</v>
      </c>
      <c r="W8" s="322" t="s">
        <v>101</v>
      </c>
      <c r="Y8" s="497">
        <v>2026</v>
      </c>
      <c r="Z8" s="498"/>
      <c r="AA8" s="314">
        <f t="shared" si="3"/>
        <v>17</v>
      </c>
      <c r="AB8" s="314">
        <f>VLOOKUP(AA8,$T$8:$W$27,3,1)</f>
        <v>90</v>
      </c>
      <c r="AC8" s="316">
        <f t="shared" si="4"/>
        <v>5</v>
      </c>
      <c r="AD8" s="314">
        <f t="shared" si="0"/>
        <v>24</v>
      </c>
      <c r="AE8" s="314">
        <f t="shared" si="5"/>
        <v>0</v>
      </c>
      <c r="AF8" s="314">
        <f t="shared" si="1"/>
        <v>0</v>
      </c>
      <c r="AG8" s="314">
        <f t="shared" si="2"/>
        <v>114</v>
      </c>
    </row>
    <row r="9" spans="1:33" ht="15" thickTop="1" thickBot="1" x14ac:dyDescent="0.2">
      <c r="A9" s="303"/>
      <c r="B9" s="497">
        <v>2021</v>
      </c>
      <c r="C9" s="498"/>
      <c r="D9" s="313">
        <f>IF(F3="",0,F3)</f>
        <v>12</v>
      </c>
      <c r="E9" s="328">
        <f>VLOOKUP(D9,$M$8:$N$31,2,1)</f>
        <v>48</v>
      </c>
      <c r="F9" s="313">
        <f>IF(F4="",0,F4)</f>
        <v>0</v>
      </c>
      <c r="G9" s="328">
        <f>VLOOKUP(F9,$M$8:$N$31,2,1)</f>
        <v>0</v>
      </c>
      <c r="H9" s="313">
        <f>IF(F5="",0,F5)</f>
        <v>0</v>
      </c>
      <c r="I9" s="313">
        <f>VLOOKUP(H9,$M$8:$N$31,2,1)</f>
        <v>0</v>
      </c>
      <c r="J9" s="328">
        <f>+E9+G9+I9</f>
        <v>48</v>
      </c>
      <c r="K9" s="354">
        <f t="shared" ref="K9:K28" si="6">J9-J37</f>
        <v>0</v>
      </c>
      <c r="L9" s="329"/>
      <c r="M9" s="326">
        <v>1</v>
      </c>
      <c r="N9" s="326">
        <v>0</v>
      </c>
      <c r="O9" s="349">
        <v>24</v>
      </c>
      <c r="P9" s="322" t="s">
        <v>101</v>
      </c>
      <c r="Q9" s="327" t="s">
        <v>262</v>
      </c>
      <c r="R9" s="303"/>
      <c r="T9" s="326">
        <v>1</v>
      </c>
      <c r="U9" s="326">
        <v>0</v>
      </c>
      <c r="V9" s="349">
        <v>24</v>
      </c>
      <c r="W9" s="322" t="s">
        <v>101</v>
      </c>
      <c r="Y9" s="497">
        <v>2027</v>
      </c>
      <c r="Z9" s="498"/>
      <c r="AA9" s="314">
        <f t="shared" si="3"/>
        <v>18</v>
      </c>
      <c r="AB9" s="314">
        <f>VLOOKUP(AA9,$T$8:$W$27,3,1)</f>
        <v>0</v>
      </c>
      <c r="AC9" s="316">
        <f t="shared" si="4"/>
        <v>6</v>
      </c>
      <c r="AD9" s="314">
        <f t="shared" si="0"/>
        <v>42</v>
      </c>
      <c r="AE9" s="314">
        <f t="shared" si="5"/>
        <v>0</v>
      </c>
      <c r="AF9" s="314">
        <f t="shared" si="1"/>
        <v>0</v>
      </c>
      <c r="AG9" s="314">
        <f t="shared" si="2"/>
        <v>42</v>
      </c>
    </row>
    <row r="10" spans="1:33" ht="15" thickTop="1" thickBot="1" x14ac:dyDescent="0.2">
      <c r="A10" s="303"/>
      <c r="B10" s="497">
        <v>2022</v>
      </c>
      <c r="C10" s="498"/>
      <c r="D10" s="313">
        <f>IF($F$3="",0,+D9+1)</f>
        <v>13</v>
      </c>
      <c r="E10" s="328">
        <f t="shared" ref="E10:E28" si="7">VLOOKUP(D10,$M$8:$N$31,2,1)</f>
        <v>48</v>
      </c>
      <c r="F10" s="330">
        <f>IF($F$4="",0,+F9+1)</f>
        <v>1</v>
      </c>
      <c r="G10" s="328">
        <f t="shared" ref="G10:G28" si="8">VLOOKUP(F10,$M$8:$N$31,2,1)</f>
        <v>0</v>
      </c>
      <c r="H10" s="313">
        <f>IF($F$5="",0,+H9+1)</f>
        <v>0</v>
      </c>
      <c r="I10" s="328">
        <f t="shared" ref="I10:I28" si="9">VLOOKUP(H10,$M$8:$N$31,2,1)</f>
        <v>0</v>
      </c>
      <c r="J10" s="328">
        <f t="shared" ref="J10:J28" si="10">+E10+G10+I10</f>
        <v>48</v>
      </c>
      <c r="K10" s="354">
        <f t="shared" si="6"/>
        <v>-24</v>
      </c>
      <c r="L10" s="329"/>
      <c r="M10" s="326">
        <v>2</v>
      </c>
      <c r="N10" s="326">
        <v>0</v>
      </c>
      <c r="O10" s="349">
        <v>24</v>
      </c>
      <c r="P10" s="322" t="s">
        <v>101</v>
      </c>
      <c r="Q10" s="327" t="s">
        <v>67</v>
      </c>
      <c r="R10" s="303"/>
      <c r="T10" s="326">
        <v>2</v>
      </c>
      <c r="U10" s="326">
        <v>0</v>
      </c>
      <c r="V10" s="349">
        <v>24</v>
      </c>
      <c r="W10" s="322" t="s">
        <v>101</v>
      </c>
      <c r="Y10" s="497">
        <v>2028</v>
      </c>
      <c r="Z10" s="498"/>
      <c r="AA10" s="314">
        <f t="shared" si="3"/>
        <v>19</v>
      </c>
      <c r="AB10" s="314">
        <f>VLOOKUP(AA10,$T$8:$W$27,3,1)</f>
        <v>0</v>
      </c>
      <c r="AC10" s="316">
        <f t="shared" si="4"/>
        <v>7</v>
      </c>
      <c r="AD10" s="314">
        <f t="shared" si="0"/>
        <v>36</v>
      </c>
      <c r="AE10" s="314">
        <f t="shared" si="5"/>
        <v>0</v>
      </c>
      <c r="AF10" s="314">
        <f t="shared" si="1"/>
        <v>0</v>
      </c>
      <c r="AG10" s="314">
        <f t="shared" si="2"/>
        <v>36</v>
      </c>
    </row>
    <row r="11" spans="1:33" ht="15" thickTop="1" thickBot="1" x14ac:dyDescent="0.2">
      <c r="A11" s="303"/>
      <c r="B11" s="497">
        <v>2023</v>
      </c>
      <c r="C11" s="498"/>
      <c r="D11" s="313">
        <f t="shared" ref="D11:D33" si="11">IF($F$3="",0,+D10+1)</f>
        <v>14</v>
      </c>
      <c r="E11" s="328">
        <f t="shared" si="7"/>
        <v>48</v>
      </c>
      <c r="F11" s="330">
        <f t="shared" ref="F11:F33" si="12">IF($F$4="",0,+F10+1)</f>
        <v>2</v>
      </c>
      <c r="G11" s="328">
        <f t="shared" si="8"/>
        <v>0</v>
      </c>
      <c r="H11" s="313">
        <f t="shared" ref="H11:H33" si="13">IF($F$5="",0,+H10+1)</f>
        <v>0</v>
      </c>
      <c r="I11" s="328">
        <f t="shared" si="9"/>
        <v>0</v>
      </c>
      <c r="J11" s="328">
        <f t="shared" si="10"/>
        <v>48</v>
      </c>
      <c r="K11" s="354">
        <f t="shared" si="6"/>
        <v>-49</v>
      </c>
      <c r="L11" s="329"/>
      <c r="M11" s="326">
        <v>3</v>
      </c>
      <c r="N11" s="349">
        <v>22</v>
      </c>
      <c r="O11" s="349">
        <v>24</v>
      </c>
      <c r="P11" s="322" t="s">
        <v>98</v>
      </c>
      <c r="Q11" s="327" t="s">
        <v>66</v>
      </c>
      <c r="R11" s="303"/>
      <c r="T11" s="326">
        <v>3</v>
      </c>
      <c r="U11" s="349">
        <v>22</v>
      </c>
      <c r="V11" s="349">
        <v>24</v>
      </c>
      <c r="W11" s="322" t="s">
        <v>98</v>
      </c>
      <c r="Y11" s="497">
        <v>2029</v>
      </c>
      <c r="Z11" s="498"/>
      <c r="AA11" s="314">
        <f t="shared" si="3"/>
        <v>20</v>
      </c>
      <c r="AB11" s="314">
        <f>VLOOKUP(AA11,$T$8:$W$27,3,1)</f>
        <v>0</v>
      </c>
      <c r="AC11" s="316">
        <f t="shared" si="4"/>
        <v>8</v>
      </c>
      <c r="AD11" s="314">
        <f t="shared" si="0"/>
        <v>36</v>
      </c>
      <c r="AE11" s="314">
        <f t="shared" si="5"/>
        <v>0</v>
      </c>
      <c r="AF11" s="314">
        <f t="shared" si="1"/>
        <v>0</v>
      </c>
      <c r="AG11" s="314">
        <f t="shared" si="2"/>
        <v>36</v>
      </c>
    </row>
    <row r="12" spans="1:33" ht="15" thickTop="1" thickBot="1" x14ac:dyDescent="0.2">
      <c r="A12" s="303"/>
      <c r="B12" s="497">
        <v>2024</v>
      </c>
      <c r="C12" s="498"/>
      <c r="D12" s="313">
        <f t="shared" si="11"/>
        <v>15</v>
      </c>
      <c r="E12" s="328">
        <f t="shared" si="7"/>
        <v>46</v>
      </c>
      <c r="F12" s="330">
        <f t="shared" si="12"/>
        <v>3</v>
      </c>
      <c r="G12" s="328">
        <f t="shared" si="8"/>
        <v>22</v>
      </c>
      <c r="H12" s="313">
        <f t="shared" si="13"/>
        <v>0</v>
      </c>
      <c r="I12" s="328">
        <f t="shared" si="9"/>
        <v>0</v>
      </c>
      <c r="J12" s="328">
        <f t="shared" si="10"/>
        <v>68</v>
      </c>
      <c r="K12" s="354">
        <f t="shared" si="6"/>
        <v>-16</v>
      </c>
      <c r="L12" s="329"/>
      <c r="M12" s="326">
        <v>4</v>
      </c>
      <c r="N12" s="349">
        <v>22</v>
      </c>
      <c r="O12" s="349">
        <v>24</v>
      </c>
      <c r="P12" s="322" t="s">
        <v>99</v>
      </c>
      <c r="Q12" s="327" t="s">
        <v>68</v>
      </c>
      <c r="R12" s="303"/>
      <c r="T12" s="326">
        <v>4</v>
      </c>
      <c r="U12" s="349">
        <v>22</v>
      </c>
      <c r="V12" s="349">
        <v>24</v>
      </c>
      <c r="W12" s="322" t="s">
        <v>99</v>
      </c>
      <c r="Y12" s="497">
        <v>2030</v>
      </c>
      <c r="Z12" s="498"/>
      <c r="AA12" s="314">
        <f t="shared" si="3"/>
        <v>21</v>
      </c>
      <c r="AB12" s="314">
        <f t="shared" ref="AB12:AB31" si="14">VLOOKUP(AA12,$T$8:$W$27,3,1)</f>
        <v>0</v>
      </c>
      <c r="AC12" s="316">
        <f t="shared" si="4"/>
        <v>9</v>
      </c>
      <c r="AD12" s="314">
        <f t="shared" si="0"/>
        <v>36</v>
      </c>
      <c r="AE12" s="314">
        <f t="shared" si="5"/>
        <v>0</v>
      </c>
      <c r="AF12" s="314">
        <f t="shared" si="1"/>
        <v>0</v>
      </c>
      <c r="AG12" s="314">
        <f t="shared" si="2"/>
        <v>36</v>
      </c>
    </row>
    <row r="13" spans="1:33" ht="15" thickTop="1" thickBot="1" x14ac:dyDescent="0.2">
      <c r="A13" s="303"/>
      <c r="B13" s="497">
        <v>2025</v>
      </c>
      <c r="C13" s="498"/>
      <c r="D13" s="313">
        <f t="shared" si="11"/>
        <v>16</v>
      </c>
      <c r="E13" s="328">
        <f t="shared" si="7"/>
        <v>46</v>
      </c>
      <c r="F13" s="330">
        <f t="shared" si="12"/>
        <v>4</v>
      </c>
      <c r="G13" s="328">
        <f t="shared" si="8"/>
        <v>22</v>
      </c>
      <c r="H13" s="313">
        <f t="shared" si="13"/>
        <v>0</v>
      </c>
      <c r="I13" s="328">
        <f t="shared" si="9"/>
        <v>0</v>
      </c>
      <c r="J13" s="328">
        <f t="shared" si="10"/>
        <v>68</v>
      </c>
      <c r="K13" s="354">
        <f t="shared" si="6"/>
        <v>-16</v>
      </c>
      <c r="L13" s="329"/>
      <c r="M13" s="326">
        <v>5</v>
      </c>
      <c r="N13" s="349">
        <v>22</v>
      </c>
      <c r="O13" s="349">
        <v>24</v>
      </c>
      <c r="P13" s="322" t="s">
        <v>100</v>
      </c>
      <c r="Q13" s="327" t="s">
        <v>70</v>
      </c>
      <c r="R13" s="303"/>
      <c r="T13" s="326">
        <v>5</v>
      </c>
      <c r="U13" s="349">
        <v>22</v>
      </c>
      <c r="V13" s="349">
        <v>24</v>
      </c>
      <c r="W13" s="322" t="s">
        <v>100</v>
      </c>
      <c r="Y13" s="497">
        <v>2031</v>
      </c>
      <c r="Z13" s="498"/>
      <c r="AA13" s="314">
        <f t="shared" si="3"/>
        <v>22</v>
      </c>
      <c r="AB13" s="314">
        <f t="shared" si="14"/>
        <v>0</v>
      </c>
      <c r="AC13" s="316">
        <f t="shared" si="4"/>
        <v>10</v>
      </c>
      <c r="AD13" s="314">
        <f t="shared" si="0"/>
        <v>36</v>
      </c>
      <c r="AE13" s="314">
        <f t="shared" si="5"/>
        <v>0</v>
      </c>
      <c r="AF13" s="314">
        <f t="shared" si="1"/>
        <v>0</v>
      </c>
      <c r="AG13" s="314">
        <f t="shared" si="2"/>
        <v>36</v>
      </c>
    </row>
    <row r="14" spans="1:33" ht="15" thickTop="1" thickBot="1" x14ac:dyDescent="0.2">
      <c r="A14" s="303"/>
      <c r="B14" s="497">
        <v>2026</v>
      </c>
      <c r="C14" s="498"/>
      <c r="D14" s="313">
        <f t="shared" si="11"/>
        <v>17</v>
      </c>
      <c r="E14" s="328">
        <f t="shared" si="7"/>
        <v>46</v>
      </c>
      <c r="F14" s="330">
        <f t="shared" si="12"/>
        <v>5</v>
      </c>
      <c r="G14" s="328">
        <f t="shared" si="8"/>
        <v>22</v>
      </c>
      <c r="H14" s="313">
        <f t="shared" si="13"/>
        <v>0</v>
      </c>
      <c r="I14" s="328">
        <f t="shared" si="9"/>
        <v>0</v>
      </c>
      <c r="J14" s="328">
        <f t="shared" si="10"/>
        <v>68</v>
      </c>
      <c r="K14" s="354">
        <f t="shared" si="6"/>
        <v>-46</v>
      </c>
      <c r="L14" s="329"/>
      <c r="M14" s="326">
        <v>6</v>
      </c>
      <c r="N14" s="349">
        <v>32</v>
      </c>
      <c r="O14" s="349">
        <v>42</v>
      </c>
      <c r="P14" s="322" t="s">
        <v>86</v>
      </c>
      <c r="Q14" s="327" t="s">
        <v>69</v>
      </c>
      <c r="R14" s="303"/>
      <c r="T14" s="326">
        <v>6</v>
      </c>
      <c r="U14" s="349">
        <v>32</v>
      </c>
      <c r="V14" s="349">
        <v>42</v>
      </c>
      <c r="W14" s="322" t="s">
        <v>86</v>
      </c>
      <c r="Y14" s="497">
        <v>2032</v>
      </c>
      <c r="Z14" s="498"/>
      <c r="AA14" s="314">
        <f t="shared" si="3"/>
        <v>23</v>
      </c>
      <c r="AB14" s="314">
        <f t="shared" si="14"/>
        <v>0</v>
      </c>
      <c r="AC14" s="316">
        <f t="shared" si="4"/>
        <v>11</v>
      </c>
      <c r="AD14" s="314">
        <f t="shared" si="0"/>
        <v>51</v>
      </c>
      <c r="AE14" s="314">
        <f t="shared" si="5"/>
        <v>0</v>
      </c>
      <c r="AF14" s="314">
        <f t="shared" si="1"/>
        <v>0</v>
      </c>
      <c r="AG14" s="314">
        <f t="shared" si="2"/>
        <v>51</v>
      </c>
    </row>
    <row r="15" spans="1:33" ht="15" thickTop="1" thickBot="1" x14ac:dyDescent="0.2">
      <c r="A15" s="303"/>
      <c r="B15" s="497">
        <v>2027</v>
      </c>
      <c r="C15" s="498"/>
      <c r="D15" s="313">
        <f t="shared" si="11"/>
        <v>18</v>
      </c>
      <c r="E15" s="328">
        <f t="shared" si="7"/>
        <v>82</v>
      </c>
      <c r="F15" s="330">
        <f t="shared" si="12"/>
        <v>6</v>
      </c>
      <c r="G15" s="328">
        <f t="shared" si="8"/>
        <v>32</v>
      </c>
      <c r="H15" s="313">
        <f t="shared" si="13"/>
        <v>0</v>
      </c>
      <c r="I15" s="328">
        <f t="shared" si="9"/>
        <v>0</v>
      </c>
      <c r="J15" s="328">
        <f t="shared" si="10"/>
        <v>114</v>
      </c>
      <c r="K15" s="354">
        <f t="shared" si="6"/>
        <v>0</v>
      </c>
      <c r="L15" s="329"/>
      <c r="M15" s="326">
        <v>7</v>
      </c>
      <c r="N15" s="349">
        <v>32</v>
      </c>
      <c r="O15" s="349">
        <v>36</v>
      </c>
      <c r="P15" s="322" t="s">
        <v>87</v>
      </c>
      <c r="Q15" s="327" t="s">
        <v>71</v>
      </c>
      <c r="R15" s="303"/>
      <c r="T15" s="326">
        <v>7</v>
      </c>
      <c r="U15" s="349">
        <v>32</v>
      </c>
      <c r="V15" s="349">
        <v>36</v>
      </c>
      <c r="W15" s="322" t="s">
        <v>87</v>
      </c>
      <c r="Y15" s="497">
        <v>2033</v>
      </c>
      <c r="Z15" s="498"/>
      <c r="AA15" s="314">
        <f t="shared" si="3"/>
        <v>24</v>
      </c>
      <c r="AB15" s="314">
        <f t="shared" si="14"/>
        <v>0</v>
      </c>
      <c r="AC15" s="316">
        <f t="shared" si="4"/>
        <v>12</v>
      </c>
      <c r="AD15" s="314">
        <f t="shared" si="0"/>
        <v>48</v>
      </c>
      <c r="AE15" s="314">
        <f t="shared" si="5"/>
        <v>0</v>
      </c>
      <c r="AF15" s="314">
        <f t="shared" si="1"/>
        <v>0</v>
      </c>
      <c r="AG15" s="314">
        <f t="shared" si="2"/>
        <v>48</v>
      </c>
    </row>
    <row r="16" spans="1:33" ht="15" thickTop="1" thickBot="1" x14ac:dyDescent="0.2">
      <c r="A16" s="303"/>
      <c r="B16" s="497">
        <v>2028</v>
      </c>
      <c r="C16" s="498"/>
      <c r="D16" s="313">
        <f t="shared" si="11"/>
        <v>19</v>
      </c>
      <c r="E16" s="328">
        <f t="shared" si="7"/>
        <v>54</v>
      </c>
      <c r="F16" s="330">
        <f t="shared" si="12"/>
        <v>7</v>
      </c>
      <c r="G16" s="328">
        <f t="shared" si="8"/>
        <v>32</v>
      </c>
      <c r="H16" s="313">
        <f t="shared" si="13"/>
        <v>0</v>
      </c>
      <c r="I16" s="328">
        <f t="shared" si="9"/>
        <v>0</v>
      </c>
      <c r="J16" s="328">
        <f t="shared" si="10"/>
        <v>86</v>
      </c>
      <c r="K16" s="354">
        <f t="shared" si="6"/>
        <v>-22</v>
      </c>
      <c r="L16" s="329"/>
      <c r="M16" s="326">
        <v>8</v>
      </c>
      <c r="N16" s="349">
        <v>32</v>
      </c>
      <c r="O16" s="349">
        <v>36</v>
      </c>
      <c r="P16" s="322" t="s">
        <v>88</v>
      </c>
      <c r="Q16" s="327" t="s">
        <v>72</v>
      </c>
      <c r="R16" s="303"/>
      <c r="T16" s="326">
        <v>8</v>
      </c>
      <c r="U16" s="349">
        <v>32</v>
      </c>
      <c r="V16" s="349">
        <v>36</v>
      </c>
      <c r="W16" s="322" t="s">
        <v>88</v>
      </c>
      <c r="Y16" s="497">
        <v>2034</v>
      </c>
      <c r="Z16" s="498"/>
      <c r="AA16" s="314">
        <f t="shared" si="3"/>
        <v>25</v>
      </c>
      <c r="AB16" s="314">
        <f t="shared" si="14"/>
        <v>0</v>
      </c>
      <c r="AC16" s="316">
        <f t="shared" si="4"/>
        <v>13</v>
      </c>
      <c r="AD16" s="314">
        <f t="shared" si="0"/>
        <v>48</v>
      </c>
      <c r="AE16" s="314">
        <f t="shared" si="5"/>
        <v>0</v>
      </c>
      <c r="AF16" s="314">
        <f t="shared" si="1"/>
        <v>0</v>
      </c>
      <c r="AG16" s="314">
        <f t="shared" si="2"/>
        <v>48</v>
      </c>
    </row>
    <row r="17" spans="1:33" ht="15" thickTop="1" thickBot="1" x14ac:dyDescent="0.2">
      <c r="A17" s="303"/>
      <c r="B17" s="497">
        <v>2029</v>
      </c>
      <c r="C17" s="498"/>
      <c r="D17" s="313">
        <f t="shared" si="11"/>
        <v>20</v>
      </c>
      <c r="E17" s="328">
        <f t="shared" si="7"/>
        <v>54</v>
      </c>
      <c r="F17" s="330">
        <f t="shared" si="12"/>
        <v>8</v>
      </c>
      <c r="G17" s="328">
        <f t="shared" si="8"/>
        <v>32</v>
      </c>
      <c r="H17" s="313">
        <f t="shared" si="13"/>
        <v>0</v>
      </c>
      <c r="I17" s="328">
        <f t="shared" si="9"/>
        <v>0</v>
      </c>
      <c r="J17" s="328">
        <f t="shared" si="10"/>
        <v>86</v>
      </c>
      <c r="K17" s="354">
        <f t="shared" si="6"/>
        <v>-22</v>
      </c>
      <c r="L17" s="329"/>
      <c r="M17" s="326">
        <v>9</v>
      </c>
      <c r="N17" s="349">
        <v>32</v>
      </c>
      <c r="O17" s="349">
        <v>36</v>
      </c>
      <c r="P17" s="322" t="s">
        <v>89</v>
      </c>
      <c r="Q17" s="327" t="s">
        <v>73</v>
      </c>
      <c r="R17" s="303"/>
      <c r="T17" s="326">
        <v>9</v>
      </c>
      <c r="U17" s="349">
        <v>32</v>
      </c>
      <c r="V17" s="349">
        <v>36</v>
      </c>
      <c r="W17" s="322" t="s">
        <v>89</v>
      </c>
      <c r="Y17" s="497">
        <v>2035</v>
      </c>
      <c r="Z17" s="498"/>
      <c r="AA17" s="314">
        <f t="shared" si="3"/>
        <v>26</v>
      </c>
      <c r="AB17" s="314">
        <f t="shared" si="14"/>
        <v>0</v>
      </c>
      <c r="AC17" s="316">
        <f t="shared" si="4"/>
        <v>14</v>
      </c>
      <c r="AD17" s="314">
        <f t="shared" si="0"/>
        <v>73</v>
      </c>
      <c r="AE17" s="314">
        <f t="shared" si="5"/>
        <v>0</v>
      </c>
      <c r="AF17" s="314">
        <f t="shared" si="1"/>
        <v>0</v>
      </c>
      <c r="AG17" s="314">
        <f t="shared" si="2"/>
        <v>73</v>
      </c>
    </row>
    <row r="18" spans="1:33" ht="15" thickTop="1" thickBot="1" x14ac:dyDescent="0.2">
      <c r="A18" s="303"/>
      <c r="B18" s="497">
        <v>2030</v>
      </c>
      <c r="C18" s="498"/>
      <c r="D18" s="313">
        <f t="shared" si="11"/>
        <v>21</v>
      </c>
      <c r="E18" s="328">
        <f t="shared" si="7"/>
        <v>54</v>
      </c>
      <c r="F18" s="330">
        <f t="shared" si="12"/>
        <v>9</v>
      </c>
      <c r="G18" s="328">
        <f t="shared" si="8"/>
        <v>32</v>
      </c>
      <c r="H18" s="313">
        <f t="shared" si="13"/>
        <v>0</v>
      </c>
      <c r="I18" s="328">
        <f t="shared" si="9"/>
        <v>0</v>
      </c>
      <c r="J18" s="328">
        <f t="shared" si="10"/>
        <v>86</v>
      </c>
      <c r="K18" s="354">
        <f t="shared" si="6"/>
        <v>-22</v>
      </c>
      <c r="L18" s="329"/>
      <c r="M18" s="326">
        <v>10</v>
      </c>
      <c r="N18" s="349">
        <v>32</v>
      </c>
      <c r="O18" s="349">
        <v>36</v>
      </c>
      <c r="P18" s="322" t="s">
        <v>90</v>
      </c>
      <c r="Q18" s="327" t="s">
        <v>74</v>
      </c>
      <c r="R18" s="303"/>
      <c r="T18" s="326">
        <v>10</v>
      </c>
      <c r="U18" s="349">
        <v>32</v>
      </c>
      <c r="V18" s="349">
        <v>36</v>
      </c>
      <c r="W18" s="322" t="s">
        <v>90</v>
      </c>
      <c r="Y18" s="497">
        <v>2036</v>
      </c>
      <c r="Z18" s="498"/>
      <c r="AA18" s="314">
        <f t="shared" si="3"/>
        <v>27</v>
      </c>
      <c r="AB18" s="314">
        <f t="shared" si="14"/>
        <v>0</v>
      </c>
      <c r="AC18" s="316">
        <f t="shared" si="4"/>
        <v>15</v>
      </c>
      <c r="AD18" s="314">
        <f t="shared" si="0"/>
        <v>60</v>
      </c>
      <c r="AE18" s="314">
        <f t="shared" si="5"/>
        <v>0</v>
      </c>
      <c r="AF18" s="314">
        <f t="shared" si="1"/>
        <v>0</v>
      </c>
      <c r="AG18" s="314">
        <f t="shared" si="2"/>
        <v>60</v>
      </c>
    </row>
    <row r="19" spans="1:33" ht="15" thickTop="1" thickBot="1" x14ac:dyDescent="0.2">
      <c r="A19" s="303"/>
      <c r="B19" s="497">
        <v>2031</v>
      </c>
      <c r="C19" s="498"/>
      <c r="D19" s="313">
        <f t="shared" si="11"/>
        <v>22</v>
      </c>
      <c r="E19" s="328">
        <f t="shared" si="7"/>
        <v>0</v>
      </c>
      <c r="F19" s="330">
        <f t="shared" si="12"/>
        <v>10</v>
      </c>
      <c r="G19" s="328">
        <f t="shared" si="8"/>
        <v>32</v>
      </c>
      <c r="H19" s="313">
        <f t="shared" si="13"/>
        <v>0</v>
      </c>
      <c r="I19" s="328">
        <f t="shared" si="9"/>
        <v>0</v>
      </c>
      <c r="J19" s="328">
        <f t="shared" si="10"/>
        <v>32</v>
      </c>
      <c r="K19" s="354">
        <f t="shared" si="6"/>
        <v>-4</v>
      </c>
      <c r="L19" s="329"/>
      <c r="M19" s="326">
        <v>11</v>
      </c>
      <c r="N19" s="349">
        <v>32</v>
      </c>
      <c r="O19" s="349">
        <v>51</v>
      </c>
      <c r="P19" s="322" t="s">
        <v>91</v>
      </c>
      <c r="Q19" s="327" t="s">
        <v>75</v>
      </c>
      <c r="R19" s="303"/>
      <c r="T19" s="326">
        <v>11</v>
      </c>
      <c r="U19" s="349">
        <v>32</v>
      </c>
      <c r="V19" s="349">
        <v>51</v>
      </c>
      <c r="W19" s="322" t="s">
        <v>91</v>
      </c>
      <c r="Y19" s="497">
        <v>2037</v>
      </c>
      <c r="Z19" s="498"/>
      <c r="AA19" s="314">
        <f t="shared" si="3"/>
        <v>28</v>
      </c>
      <c r="AB19" s="314">
        <f t="shared" si="14"/>
        <v>0</v>
      </c>
      <c r="AC19" s="316">
        <f t="shared" si="4"/>
        <v>16</v>
      </c>
      <c r="AD19" s="314">
        <f t="shared" si="0"/>
        <v>60</v>
      </c>
      <c r="AE19" s="314">
        <f t="shared" si="5"/>
        <v>0</v>
      </c>
      <c r="AF19" s="314">
        <f t="shared" si="1"/>
        <v>0</v>
      </c>
      <c r="AG19" s="314">
        <f t="shared" si="2"/>
        <v>60</v>
      </c>
    </row>
    <row r="20" spans="1:33" ht="15" thickTop="1" thickBot="1" x14ac:dyDescent="0.2">
      <c r="A20" s="303"/>
      <c r="B20" s="497">
        <v>2032</v>
      </c>
      <c r="C20" s="498"/>
      <c r="D20" s="313">
        <f t="shared" si="11"/>
        <v>23</v>
      </c>
      <c r="E20" s="328">
        <f t="shared" si="7"/>
        <v>0</v>
      </c>
      <c r="F20" s="330">
        <f t="shared" si="12"/>
        <v>11</v>
      </c>
      <c r="G20" s="328">
        <f t="shared" si="8"/>
        <v>32</v>
      </c>
      <c r="H20" s="313">
        <f t="shared" si="13"/>
        <v>0</v>
      </c>
      <c r="I20" s="328">
        <f t="shared" si="9"/>
        <v>0</v>
      </c>
      <c r="J20" s="328">
        <f t="shared" si="10"/>
        <v>32</v>
      </c>
      <c r="K20" s="354">
        <f t="shared" si="6"/>
        <v>-19</v>
      </c>
      <c r="L20" s="329"/>
      <c r="M20" s="326">
        <v>12</v>
      </c>
      <c r="N20" s="349">
        <v>48</v>
      </c>
      <c r="O20" s="349">
        <v>48</v>
      </c>
      <c r="P20" s="322" t="s">
        <v>92</v>
      </c>
      <c r="Q20" s="327" t="s">
        <v>76</v>
      </c>
      <c r="R20" s="303"/>
      <c r="T20" s="326">
        <v>12</v>
      </c>
      <c r="U20" s="349">
        <v>48</v>
      </c>
      <c r="V20" s="349">
        <v>48</v>
      </c>
      <c r="W20" s="322" t="s">
        <v>92</v>
      </c>
      <c r="Y20" s="497">
        <v>2038</v>
      </c>
      <c r="Z20" s="498"/>
      <c r="AA20" s="314">
        <f t="shared" si="3"/>
        <v>29</v>
      </c>
      <c r="AB20" s="314">
        <f t="shared" si="14"/>
        <v>0</v>
      </c>
      <c r="AC20" s="316">
        <f t="shared" si="4"/>
        <v>17</v>
      </c>
      <c r="AD20" s="314">
        <f t="shared" si="0"/>
        <v>90</v>
      </c>
      <c r="AE20" s="314">
        <f t="shared" si="5"/>
        <v>0</v>
      </c>
      <c r="AF20" s="314">
        <f t="shared" si="1"/>
        <v>0</v>
      </c>
      <c r="AG20" s="314">
        <f t="shared" si="2"/>
        <v>90</v>
      </c>
    </row>
    <row r="21" spans="1:33" ht="15" thickTop="1" thickBot="1" x14ac:dyDescent="0.2">
      <c r="A21" s="303"/>
      <c r="B21" s="497">
        <v>2033</v>
      </c>
      <c r="C21" s="498"/>
      <c r="D21" s="313">
        <f t="shared" si="11"/>
        <v>24</v>
      </c>
      <c r="E21" s="328">
        <f t="shared" si="7"/>
        <v>0</v>
      </c>
      <c r="F21" s="330">
        <f t="shared" si="12"/>
        <v>12</v>
      </c>
      <c r="G21" s="328">
        <f t="shared" si="8"/>
        <v>48</v>
      </c>
      <c r="H21" s="313">
        <f t="shared" si="13"/>
        <v>0</v>
      </c>
      <c r="I21" s="328">
        <f t="shared" si="9"/>
        <v>0</v>
      </c>
      <c r="J21" s="328">
        <f t="shared" si="10"/>
        <v>48</v>
      </c>
      <c r="K21" s="354">
        <f t="shared" si="6"/>
        <v>0</v>
      </c>
      <c r="L21" s="329"/>
      <c r="M21" s="326">
        <v>13</v>
      </c>
      <c r="N21" s="349">
        <v>48</v>
      </c>
      <c r="O21" s="349">
        <v>48</v>
      </c>
      <c r="P21" s="322" t="s">
        <v>93</v>
      </c>
      <c r="Q21" s="327" t="s">
        <v>77</v>
      </c>
      <c r="R21" s="303"/>
      <c r="T21" s="326">
        <v>13</v>
      </c>
      <c r="U21" s="349">
        <v>48</v>
      </c>
      <c r="V21" s="349">
        <v>48</v>
      </c>
      <c r="W21" s="322" t="s">
        <v>93</v>
      </c>
      <c r="Y21" s="497">
        <v>2039</v>
      </c>
      <c r="Z21" s="498"/>
      <c r="AA21" s="314">
        <f t="shared" si="3"/>
        <v>30</v>
      </c>
      <c r="AB21" s="314">
        <f t="shared" si="14"/>
        <v>0</v>
      </c>
      <c r="AC21" s="316">
        <f t="shared" si="4"/>
        <v>18</v>
      </c>
      <c r="AD21" s="314">
        <f t="shared" si="0"/>
        <v>0</v>
      </c>
      <c r="AE21" s="314">
        <f t="shared" si="5"/>
        <v>0</v>
      </c>
      <c r="AF21" s="314">
        <f t="shared" si="1"/>
        <v>0</v>
      </c>
      <c r="AG21" s="314">
        <f t="shared" si="2"/>
        <v>0</v>
      </c>
    </row>
    <row r="22" spans="1:33" ht="15" thickTop="1" thickBot="1" x14ac:dyDescent="0.2">
      <c r="A22" s="303"/>
      <c r="B22" s="497">
        <v>2034</v>
      </c>
      <c r="C22" s="498"/>
      <c r="D22" s="313">
        <f t="shared" si="11"/>
        <v>25</v>
      </c>
      <c r="E22" s="328">
        <f t="shared" si="7"/>
        <v>0</v>
      </c>
      <c r="F22" s="330">
        <f t="shared" si="12"/>
        <v>13</v>
      </c>
      <c r="G22" s="328">
        <f t="shared" si="8"/>
        <v>48</v>
      </c>
      <c r="H22" s="313">
        <f t="shared" si="13"/>
        <v>0</v>
      </c>
      <c r="I22" s="328">
        <f t="shared" si="9"/>
        <v>0</v>
      </c>
      <c r="J22" s="328">
        <f t="shared" si="10"/>
        <v>48</v>
      </c>
      <c r="K22" s="354">
        <f t="shared" si="6"/>
        <v>0</v>
      </c>
      <c r="L22" s="329"/>
      <c r="M22" s="326">
        <v>14</v>
      </c>
      <c r="N22" s="349">
        <v>48</v>
      </c>
      <c r="O22" s="349">
        <v>73</v>
      </c>
      <c r="P22" s="322" t="s">
        <v>94</v>
      </c>
      <c r="Q22" s="327" t="s">
        <v>78</v>
      </c>
      <c r="R22" s="303"/>
      <c r="T22" s="326">
        <v>14</v>
      </c>
      <c r="U22" s="349">
        <v>48</v>
      </c>
      <c r="V22" s="349">
        <v>73</v>
      </c>
      <c r="W22" s="322" t="s">
        <v>94</v>
      </c>
      <c r="Y22" s="497">
        <v>2040</v>
      </c>
      <c r="Z22" s="498"/>
      <c r="AA22" s="314">
        <f t="shared" si="3"/>
        <v>31</v>
      </c>
      <c r="AB22" s="314">
        <f t="shared" si="14"/>
        <v>0</v>
      </c>
      <c r="AC22" s="316">
        <f t="shared" si="4"/>
        <v>19</v>
      </c>
      <c r="AD22" s="314">
        <f t="shared" si="0"/>
        <v>0</v>
      </c>
      <c r="AE22" s="314">
        <f t="shared" si="5"/>
        <v>0</v>
      </c>
      <c r="AF22" s="314">
        <f t="shared" si="1"/>
        <v>0</v>
      </c>
      <c r="AG22" s="314">
        <f t="shared" si="2"/>
        <v>0</v>
      </c>
    </row>
    <row r="23" spans="1:33" ht="15" thickTop="1" thickBot="1" x14ac:dyDescent="0.2">
      <c r="A23" s="303"/>
      <c r="B23" s="497">
        <v>2035</v>
      </c>
      <c r="C23" s="498"/>
      <c r="D23" s="313">
        <f t="shared" si="11"/>
        <v>26</v>
      </c>
      <c r="E23" s="328">
        <f t="shared" si="7"/>
        <v>0</v>
      </c>
      <c r="F23" s="330">
        <f t="shared" si="12"/>
        <v>14</v>
      </c>
      <c r="G23" s="328">
        <f t="shared" si="8"/>
        <v>48</v>
      </c>
      <c r="H23" s="313">
        <f t="shared" si="13"/>
        <v>0</v>
      </c>
      <c r="I23" s="328">
        <f t="shared" si="9"/>
        <v>0</v>
      </c>
      <c r="J23" s="328">
        <f t="shared" si="10"/>
        <v>48</v>
      </c>
      <c r="K23" s="354">
        <f t="shared" si="6"/>
        <v>-25</v>
      </c>
      <c r="L23" s="329"/>
      <c r="M23" s="326">
        <v>15</v>
      </c>
      <c r="N23" s="349">
        <v>46</v>
      </c>
      <c r="O23" s="350">
        <v>60</v>
      </c>
      <c r="P23" s="322" t="s">
        <v>95</v>
      </c>
      <c r="Q23" s="327" t="s">
        <v>79</v>
      </c>
      <c r="R23" s="303"/>
      <c r="S23" s="306">
        <f>33+10</f>
        <v>43</v>
      </c>
      <c r="T23" s="326">
        <v>15</v>
      </c>
      <c r="U23" s="349">
        <v>46</v>
      </c>
      <c r="V23" s="350">
        <v>60</v>
      </c>
      <c r="W23" s="322" t="s">
        <v>95</v>
      </c>
      <c r="Y23" s="497">
        <v>2041</v>
      </c>
      <c r="Z23" s="498"/>
      <c r="AA23" s="314">
        <f t="shared" si="3"/>
        <v>32</v>
      </c>
      <c r="AB23" s="314">
        <f t="shared" si="14"/>
        <v>0</v>
      </c>
      <c r="AC23" s="316">
        <f t="shared" si="4"/>
        <v>20</v>
      </c>
      <c r="AD23" s="314">
        <f t="shared" si="0"/>
        <v>0</v>
      </c>
      <c r="AE23" s="314">
        <f t="shared" si="5"/>
        <v>0</v>
      </c>
      <c r="AF23" s="314">
        <f t="shared" si="1"/>
        <v>0</v>
      </c>
      <c r="AG23" s="314">
        <f t="shared" si="2"/>
        <v>0</v>
      </c>
    </row>
    <row r="24" spans="1:33" ht="15" thickTop="1" thickBot="1" x14ac:dyDescent="0.2">
      <c r="A24" s="303"/>
      <c r="B24" s="497">
        <v>2036</v>
      </c>
      <c r="C24" s="498"/>
      <c r="D24" s="313">
        <f t="shared" si="11"/>
        <v>27</v>
      </c>
      <c r="E24" s="328">
        <f t="shared" si="7"/>
        <v>0</v>
      </c>
      <c r="F24" s="330">
        <f t="shared" si="12"/>
        <v>15</v>
      </c>
      <c r="G24" s="328">
        <f t="shared" si="8"/>
        <v>46</v>
      </c>
      <c r="H24" s="313">
        <f t="shared" si="13"/>
        <v>0</v>
      </c>
      <c r="I24" s="328">
        <f t="shared" si="9"/>
        <v>0</v>
      </c>
      <c r="J24" s="328">
        <f t="shared" si="10"/>
        <v>46</v>
      </c>
      <c r="K24" s="354">
        <f t="shared" si="6"/>
        <v>-14</v>
      </c>
      <c r="L24" s="329"/>
      <c r="M24" s="326">
        <v>16</v>
      </c>
      <c r="N24" s="349">
        <v>46</v>
      </c>
      <c r="O24" s="349">
        <v>60</v>
      </c>
      <c r="P24" s="322" t="s">
        <v>96</v>
      </c>
      <c r="Q24" s="327" t="s">
        <v>80</v>
      </c>
      <c r="R24" s="303"/>
      <c r="T24" s="326">
        <v>16</v>
      </c>
      <c r="U24" s="349">
        <v>46</v>
      </c>
      <c r="V24" s="349">
        <v>60</v>
      </c>
      <c r="W24" s="322" t="s">
        <v>96</v>
      </c>
      <c r="Y24" s="497">
        <v>2042</v>
      </c>
      <c r="Z24" s="498"/>
      <c r="AA24" s="314">
        <f t="shared" si="3"/>
        <v>33</v>
      </c>
      <c r="AB24" s="314">
        <f t="shared" si="14"/>
        <v>0</v>
      </c>
      <c r="AC24" s="316">
        <f t="shared" si="4"/>
        <v>21</v>
      </c>
      <c r="AD24" s="314">
        <f t="shared" si="0"/>
        <v>0</v>
      </c>
      <c r="AE24" s="314">
        <f t="shared" si="5"/>
        <v>0</v>
      </c>
      <c r="AF24" s="314">
        <f t="shared" si="1"/>
        <v>0</v>
      </c>
      <c r="AG24" s="314">
        <f t="shared" si="2"/>
        <v>0</v>
      </c>
    </row>
    <row r="25" spans="1:33" ht="15" thickTop="1" thickBot="1" x14ac:dyDescent="0.2">
      <c r="A25" s="303"/>
      <c r="B25" s="497">
        <v>2037</v>
      </c>
      <c r="C25" s="498"/>
      <c r="D25" s="313">
        <f t="shared" si="11"/>
        <v>28</v>
      </c>
      <c r="E25" s="328">
        <f t="shared" si="7"/>
        <v>0</v>
      </c>
      <c r="F25" s="330">
        <f t="shared" si="12"/>
        <v>16</v>
      </c>
      <c r="G25" s="328">
        <f t="shared" si="8"/>
        <v>46</v>
      </c>
      <c r="H25" s="313">
        <f t="shared" si="13"/>
        <v>0</v>
      </c>
      <c r="I25" s="328">
        <f t="shared" si="9"/>
        <v>0</v>
      </c>
      <c r="J25" s="328">
        <f t="shared" si="10"/>
        <v>46</v>
      </c>
      <c r="K25" s="354">
        <f t="shared" si="6"/>
        <v>-14</v>
      </c>
      <c r="L25" s="329"/>
      <c r="M25" s="326">
        <v>17</v>
      </c>
      <c r="N25" s="349">
        <v>46</v>
      </c>
      <c r="O25" s="349">
        <v>90</v>
      </c>
      <c r="P25" s="322" t="s">
        <v>97</v>
      </c>
      <c r="Q25" s="327" t="s">
        <v>81</v>
      </c>
      <c r="R25" s="351" t="s">
        <v>275</v>
      </c>
      <c r="T25" s="326">
        <v>17</v>
      </c>
      <c r="U25" s="349">
        <v>46</v>
      </c>
      <c r="V25" s="349">
        <v>90</v>
      </c>
      <c r="W25" s="322" t="s">
        <v>97</v>
      </c>
      <c r="Y25" s="497">
        <v>2043</v>
      </c>
      <c r="Z25" s="498"/>
      <c r="AA25" s="314">
        <f t="shared" si="3"/>
        <v>34</v>
      </c>
      <c r="AB25" s="314">
        <f t="shared" si="14"/>
        <v>0</v>
      </c>
      <c r="AC25" s="316">
        <f t="shared" si="4"/>
        <v>22</v>
      </c>
      <c r="AD25" s="314">
        <f t="shared" si="0"/>
        <v>0</v>
      </c>
      <c r="AE25" s="314">
        <f t="shared" si="5"/>
        <v>0</v>
      </c>
      <c r="AF25" s="314">
        <f t="shared" si="1"/>
        <v>0</v>
      </c>
      <c r="AG25" s="314">
        <f t="shared" si="2"/>
        <v>0</v>
      </c>
    </row>
    <row r="26" spans="1:33" ht="15" thickTop="1" thickBot="1" x14ac:dyDescent="0.2">
      <c r="A26" s="303"/>
      <c r="B26" s="497">
        <v>2038</v>
      </c>
      <c r="C26" s="498"/>
      <c r="D26" s="313">
        <f t="shared" si="11"/>
        <v>29</v>
      </c>
      <c r="E26" s="328">
        <f t="shared" si="7"/>
        <v>0</v>
      </c>
      <c r="F26" s="330">
        <f t="shared" si="12"/>
        <v>17</v>
      </c>
      <c r="G26" s="328">
        <f t="shared" si="8"/>
        <v>46</v>
      </c>
      <c r="H26" s="313">
        <f t="shared" si="13"/>
        <v>0</v>
      </c>
      <c r="I26" s="328">
        <f t="shared" si="9"/>
        <v>0</v>
      </c>
      <c r="J26" s="328">
        <f t="shared" si="10"/>
        <v>46</v>
      </c>
      <c r="K26" s="354">
        <f t="shared" si="6"/>
        <v>-44</v>
      </c>
      <c r="L26" s="329"/>
      <c r="M26" s="326">
        <v>18</v>
      </c>
      <c r="N26" s="349">
        <v>82</v>
      </c>
      <c r="O26" s="350">
        <v>72</v>
      </c>
      <c r="P26" s="322" t="s">
        <v>106</v>
      </c>
      <c r="Q26" s="327" t="s">
        <v>82</v>
      </c>
      <c r="R26" s="303"/>
      <c r="T26" s="326">
        <v>18</v>
      </c>
      <c r="U26" s="349">
        <v>0</v>
      </c>
      <c r="V26" s="350">
        <v>0</v>
      </c>
      <c r="W26" s="322" t="s">
        <v>106</v>
      </c>
      <c r="Y26" s="497">
        <v>2044</v>
      </c>
      <c r="Z26" s="498"/>
      <c r="AA26" s="314">
        <f t="shared" si="3"/>
        <v>35</v>
      </c>
      <c r="AB26" s="314">
        <f t="shared" si="14"/>
        <v>0</v>
      </c>
      <c r="AC26" s="316">
        <f t="shared" si="4"/>
        <v>23</v>
      </c>
      <c r="AD26" s="314">
        <f t="shared" si="0"/>
        <v>0</v>
      </c>
      <c r="AE26" s="314">
        <f t="shared" si="5"/>
        <v>0</v>
      </c>
      <c r="AF26" s="314">
        <f t="shared" si="1"/>
        <v>0</v>
      </c>
      <c r="AG26" s="314">
        <f t="shared" si="2"/>
        <v>0</v>
      </c>
    </row>
    <row r="27" spans="1:33" ht="15" thickTop="1" thickBot="1" x14ac:dyDescent="0.2">
      <c r="A27" s="303"/>
      <c r="B27" s="497">
        <v>2039</v>
      </c>
      <c r="C27" s="498"/>
      <c r="D27" s="313">
        <f t="shared" si="11"/>
        <v>30</v>
      </c>
      <c r="E27" s="328">
        <f t="shared" si="7"/>
        <v>0</v>
      </c>
      <c r="F27" s="330">
        <f t="shared" si="12"/>
        <v>18</v>
      </c>
      <c r="G27" s="328">
        <f t="shared" si="8"/>
        <v>82</v>
      </c>
      <c r="H27" s="313">
        <f t="shared" si="13"/>
        <v>0</v>
      </c>
      <c r="I27" s="328">
        <f t="shared" si="9"/>
        <v>0</v>
      </c>
      <c r="J27" s="328">
        <f t="shared" si="10"/>
        <v>82</v>
      </c>
      <c r="K27" s="354">
        <f t="shared" si="6"/>
        <v>10</v>
      </c>
      <c r="L27" s="329"/>
      <c r="M27" s="326">
        <v>19</v>
      </c>
      <c r="N27" s="349">
        <v>54</v>
      </c>
      <c r="O27" s="349">
        <v>72</v>
      </c>
      <c r="P27" s="322" t="s">
        <v>107</v>
      </c>
      <c r="Q27" s="327" t="s">
        <v>83</v>
      </c>
      <c r="R27" s="303"/>
      <c r="T27" s="331">
        <v>19</v>
      </c>
      <c r="U27" s="361">
        <v>0</v>
      </c>
      <c r="V27" s="349">
        <v>0</v>
      </c>
      <c r="W27" s="332" t="s">
        <v>216</v>
      </c>
      <c r="Y27" s="497">
        <v>2045</v>
      </c>
      <c r="Z27" s="498"/>
      <c r="AA27" s="314">
        <f t="shared" si="3"/>
        <v>36</v>
      </c>
      <c r="AB27" s="314">
        <f t="shared" si="14"/>
        <v>0</v>
      </c>
      <c r="AC27" s="316">
        <f t="shared" si="4"/>
        <v>24</v>
      </c>
      <c r="AD27" s="314">
        <f t="shared" si="0"/>
        <v>0</v>
      </c>
      <c r="AE27" s="314">
        <f t="shared" si="5"/>
        <v>0</v>
      </c>
      <c r="AF27" s="314">
        <f t="shared" si="1"/>
        <v>0</v>
      </c>
      <c r="AG27" s="314">
        <f t="shared" si="2"/>
        <v>0</v>
      </c>
    </row>
    <row r="28" spans="1:33" ht="15" thickTop="1" thickBot="1" x14ac:dyDescent="0.2">
      <c r="A28" s="303"/>
      <c r="B28" s="497">
        <v>2040</v>
      </c>
      <c r="C28" s="498"/>
      <c r="D28" s="313">
        <f t="shared" si="11"/>
        <v>31</v>
      </c>
      <c r="E28" s="328">
        <f t="shared" si="7"/>
        <v>0</v>
      </c>
      <c r="F28" s="330">
        <f t="shared" si="12"/>
        <v>19</v>
      </c>
      <c r="G28" s="328">
        <f t="shared" si="8"/>
        <v>54</v>
      </c>
      <c r="H28" s="313">
        <f t="shared" si="13"/>
        <v>0</v>
      </c>
      <c r="I28" s="328">
        <f t="shared" si="9"/>
        <v>0</v>
      </c>
      <c r="J28" s="328">
        <f t="shared" si="10"/>
        <v>54</v>
      </c>
      <c r="K28" s="354">
        <f t="shared" si="6"/>
        <v>-18</v>
      </c>
      <c r="L28" s="329"/>
      <c r="M28" s="326">
        <v>20</v>
      </c>
      <c r="N28" s="349">
        <v>54</v>
      </c>
      <c r="O28" s="349">
        <v>72</v>
      </c>
      <c r="P28" s="322" t="s">
        <v>108</v>
      </c>
      <c r="Q28" s="327" t="s">
        <v>110</v>
      </c>
      <c r="R28" s="303"/>
      <c r="Y28" s="497">
        <v>2046</v>
      </c>
      <c r="Z28" s="498"/>
      <c r="AA28" s="314">
        <f t="shared" si="3"/>
        <v>37</v>
      </c>
      <c r="AB28" s="314">
        <f t="shared" si="14"/>
        <v>0</v>
      </c>
      <c r="AC28" s="316">
        <f t="shared" si="4"/>
        <v>25</v>
      </c>
      <c r="AD28" s="314">
        <f t="shared" si="0"/>
        <v>0</v>
      </c>
      <c r="AE28" s="314">
        <f t="shared" si="5"/>
        <v>0</v>
      </c>
      <c r="AF28" s="314">
        <f t="shared" si="1"/>
        <v>0</v>
      </c>
      <c r="AG28" s="314">
        <f t="shared" si="2"/>
        <v>0</v>
      </c>
    </row>
    <row r="29" spans="1:33" ht="15" thickTop="1" thickBot="1" x14ac:dyDescent="0.2">
      <c r="A29" s="303"/>
      <c r="B29" s="497">
        <v>2041</v>
      </c>
      <c r="C29" s="498"/>
      <c r="D29" s="313">
        <f t="shared" si="11"/>
        <v>32</v>
      </c>
      <c r="E29" s="328">
        <f>VLOOKUP(D29,$M$8:$N$31,2,1)</f>
        <v>0</v>
      </c>
      <c r="F29" s="330">
        <f t="shared" si="12"/>
        <v>20</v>
      </c>
      <c r="G29" s="328">
        <f>VLOOKUP(F29,$M$8:$N$31,2,1)</f>
        <v>54</v>
      </c>
      <c r="H29" s="313">
        <f t="shared" si="13"/>
        <v>0</v>
      </c>
      <c r="I29" s="328">
        <f>VLOOKUP(H29,$M$8:$N$31,2,1)</f>
        <v>0</v>
      </c>
      <c r="J29" s="328">
        <f>+E29+G29+I29</f>
        <v>54</v>
      </c>
      <c r="K29" s="303"/>
      <c r="L29" s="303"/>
      <c r="M29" s="326">
        <v>21</v>
      </c>
      <c r="N29" s="349">
        <v>54</v>
      </c>
      <c r="O29" s="349">
        <v>72</v>
      </c>
      <c r="P29" s="322" t="s">
        <v>109</v>
      </c>
      <c r="Q29" s="327" t="s">
        <v>111</v>
      </c>
      <c r="R29" s="303"/>
      <c r="Y29" s="497">
        <v>2047</v>
      </c>
      <c r="Z29" s="498"/>
      <c r="AA29" s="314">
        <f t="shared" si="3"/>
        <v>38</v>
      </c>
      <c r="AB29" s="314">
        <f t="shared" si="14"/>
        <v>0</v>
      </c>
      <c r="AC29" s="316">
        <f t="shared" si="4"/>
        <v>26</v>
      </c>
      <c r="AD29" s="314">
        <f t="shared" si="0"/>
        <v>0</v>
      </c>
      <c r="AE29" s="314">
        <f t="shared" si="5"/>
        <v>0</v>
      </c>
      <c r="AF29" s="314">
        <f t="shared" si="1"/>
        <v>0</v>
      </c>
      <c r="AG29" s="314">
        <f t="shared" si="2"/>
        <v>0</v>
      </c>
    </row>
    <row r="30" spans="1:33" ht="15" thickTop="1" thickBot="1" x14ac:dyDescent="0.2">
      <c r="A30" s="303"/>
      <c r="B30" s="497">
        <v>2042</v>
      </c>
      <c r="C30" s="498"/>
      <c r="D30" s="313">
        <f t="shared" si="11"/>
        <v>33</v>
      </c>
      <c r="E30" s="328">
        <f>VLOOKUP(D30,$M$8:$N$31,2,1)</f>
        <v>0</v>
      </c>
      <c r="F30" s="330">
        <f t="shared" si="12"/>
        <v>21</v>
      </c>
      <c r="G30" s="328">
        <f>VLOOKUP(F30,$M$8:$N$31,2,1)</f>
        <v>54</v>
      </c>
      <c r="H30" s="313">
        <f t="shared" si="13"/>
        <v>0</v>
      </c>
      <c r="I30" s="328">
        <f>VLOOKUP(H30,$M$8:$N$31,2,1)</f>
        <v>0</v>
      </c>
      <c r="J30" s="328">
        <f>+E30+G30+I30</f>
        <v>54</v>
      </c>
      <c r="K30" s="303"/>
      <c r="L30" s="303"/>
      <c r="M30" s="326">
        <v>22</v>
      </c>
      <c r="N30" s="349">
        <v>0</v>
      </c>
      <c r="O30" s="349">
        <v>0</v>
      </c>
      <c r="P30" s="322" t="s">
        <v>101</v>
      </c>
      <c r="Q30" s="327" t="s">
        <v>112</v>
      </c>
      <c r="R30" s="303"/>
      <c r="Y30" s="497">
        <v>2048</v>
      </c>
      <c r="Z30" s="498"/>
      <c r="AA30" s="314">
        <f t="shared" si="3"/>
        <v>39</v>
      </c>
      <c r="AB30" s="314">
        <f t="shared" si="14"/>
        <v>0</v>
      </c>
      <c r="AC30" s="316">
        <f t="shared" si="4"/>
        <v>27</v>
      </c>
      <c r="AD30" s="314">
        <f t="shared" si="0"/>
        <v>0</v>
      </c>
      <c r="AE30" s="314">
        <f t="shared" si="5"/>
        <v>0</v>
      </c>
      <c r="AF30" s="314">
        <f t="shared" si="1"/>
        <v>0</v>
      </c>
      <c r="AG30" s="314">
        <f t="shared" si="2"/>
        <v>0</v>
      </c>
    </row>
    <row r="31" spans="1:33" ht="15" thickTop="1" thickBot="1" x14ac:dyDescent="0.2">
      <c r="A31" s="303"/>
      <c r="B31" s="497">
        <v>2043</v>
      </c>
      <c r="C31" s="498"/>
      <c r="D31" s="313">
        <f t="shared" si="11"/>
        <v>34</v>
      </c>
      <c r="E31" s="328">
        <f>VLOOKUP(D31,$M$8:$N$31,2,1)</f>
        <v>0</v>
      </c>
      <c r="F31" s="330">
        <f t="shared" si="12"/>
        <v>22</v>
      </c>
      <c r="G31" s="328">
        <f>VLOOKUP(F31,$M$8:$N$31,2,1)</f>
        <v>0</v>
      </c>
      <c r="H31" s="313">
        <f t="shared" si="13"/>
        <v>0</v>
      </c>
      <c r="I31" s="328">
        <f>VLOOKUP(H31,$M$8:$N$31,2,1)</f>
        <v>0</v>
      </c>
      <c r="J31" s="328">
        <f>+E31+G31+I31</f>
        <v>0</v>
      </c>
      <c r="K31" s="303"/>
      <c r="L31" s="303"/>
      <c r="M31" s="326">
        <v>23</v>
      </c>
      <c r="N31" s="349">
        <v>0</v>
      </c>
      <c r="O31" s="349">
        <v>0</v>
      </c>
      <c r="P31" s="322" t="s">
        <v>101</v>
      </c>
      <c r="Q31" s="327"/>
      <c r="R31" s="303"/>
      <c r="Y31" s="497">
        <v>2049</v>
      </c>
      <c r="Z31" s="498"/>
      <c r="AA31" s="314">
        <f t="shared" si="3"/>
        <v>40</v>
      </c>
      <c r="AB31" s="314">
        <f t="shared" si="14"/>
        <v>0</v>
      </c>
      <c r="AC31" s="316">
        <f t="shared" si="4"/>
        <v>28</v>
      </c>
      <c r="AD31" s="314">
        <f t="shared" si="0"/>
        <v>0</v>
      </c>
      <c r="AE31" s="314">
        <f t="shared" si="5"/>
        <v>0</v>
      </c>
      <c r="AF31" s="314">
        <f t="shared" si="1"/>
        <v>0</v>
      </c>
      <c r="AG31" s="314">
        <f t="shared" si="2"/>
        <v>0</v>
      </c>
    </row>
    <row r="32" spans="1:33" ht="15" thickTop="1" thickBot="1" x14ac:dyDescent="0.2">
      <c r="A32" s="303"/>
      <c r="B32" s="497">
        <v>2044</v>
      </c>
      <c r="C32" s="498"/>
      <c r="D32" s="313">
        <f t="shared" si="11"/>
        <v>35</v>
      </c>
      <c r="E32" s="328">
        <f>VLOOKUP(D32,$M$8:$N$31,2,1)</f>
        <v>0</v>
      </c>
      <c r="F32" s="330">
        <f t="shared" si="12"/>
        <v>23</v>
      </c>
      <c r="G32" s="328">
        <f>VLOOKUP(F32,$M$8:$N$31,2,1)</f>
        <v>0</v>
      </c>
      <c r="H32" s="313">
        <f t="shared" si="13"/>
        <v>0</v>
      </c>
      <c r="I32" s="328">
        <f>VLOOKUP(H32,$M$8:$N$31,2,1)</f>
        <v>0</v>
      </c>
      <c r="J32" s="328">
        <f>+E32+G32+I32</f>
        <v>0</v>
      </c>
      <c r="K32" s="303"/>
      <c r="L32" s="303"/>
      <c r="M32" s="333" t="s">
        <v>103</v>
      </c>
      <c r="N32" s="303"/>
      <c r="O32" s="303"/>
      <c r="P32" s="303"/>
      <c r="Q32" s="303"/>
      <c r="R32" s="306" t="s">
        <v>211</v>
      </c>
    </row>
    <row r="33" spans="1:32" ht="15" thickTop="1" thickBot="1" x14ac:dyDescent="0.2">
      <c r="A33" s="303"/>
      <c r="B33" s="497">
        <v>2045</v>
      </c>
      <c r="C33" s="498"/>
      <c r="D33" s="313">
        <f t="shared" si="11"/>
        <v>36</v>
      </c>
      <c r="E33" s="328">
        <f>VLOOKUP(D33,$M$8:$N$31,2,1)</f>
        <v>0</v>
      </c>
      <c r="F33" s="330">
        <f t="shared" si="12"/>
        <v>24</v>
      </c>
      <c r="G33" s="328">
        <f>VLOOKUP(F33,$M$8:$N$31,2,1)</f>
        <v>0</v>
      </c>
      <c r="H33" s="313">
        <f t="shared" si="13"/>
        <v>0</v>
      </c>
      <c r="I33" s="328">
        <f>VLOOKUP(H33,$M$8:$N$31,2,1)</f>
        <v>0</v>
      </c>
      <c r="J33" s="328">
        <f>+E33+G33+I33</f>
        <v>0</v>
      </c>
      <c r="K33" s="321"/>
      <c r="L33" s="303"/>
      <c r="M33" s="499" t="s">
        <v>213</v>
      </c>
      <c r="N33" s="500"/>
      <c r="O33" s="500"/>
      <c r="P33" s="500"/>
      <c r="Q33" s="500"/>
      <c r="R33" s="334" t="s">
        <v>210</v>
      </c>
      <c r="T33" s="499" t="s">
        <v>214</v>
      </c>
      <c r="U33" s="500"/>
      <c r="V33" s="500"/>
      <c r="W33" s="501"/>
      <c r="X33" s="335" t="s">
        <v>210</v>
      </c>
      <c r="AA33" s="499" t="s">
        <v>213</v>
      </c>
      <c r="AB33" s="500"/>
      <c r="AC33" s="500"/>
      <c r="AD33" s="500"/>
      <c r="AE33" s="500"/>
      <c r="AF33" s="334" t="s">
        <v>210</v>
      </c>
    </row>
    <row r="34" spans="1:32" ht="15" thickTop="1" thickBot="1" x14ac:dyDescent="0.2">
      <c r="A34" s="303"/>
      <c r="B34" s="303" t="s">
        <v>115</v>
      </c>
      <c r="C34" s="303"/>
      <c r="D34" s="303"/>
      <c r="E34" s="303"/>
      <c r="F34" s="304"/>
      <c r="G34" s="303"/>
      <c r="H34" s="303"/>
      <c r="I34" s="303"/>
      <c r="J34" s="303"/>
      <c r="M34" s="336"/>
      <c r="N34" s="337" t="s">
        <v>172</v>
      </c>
      <c r="O34" s="337" t="s">
        <v>173</v>
      </c>
      <c r="P34" s="337" t="s">
        <v>174</v>
      </c>
      <c r="Q34" s="338" t="s">
        <v>215</v>
      </c>
      <c r="R34" s="339" t="s">
        <v>176</v>
      </c>
      <c r="T34" s="337" t="s">
        <v>172</v>
      </c>
      <c r="U34" s="337" t="s">
        <v>173</v>
      </c>
      <c r="V34" s="337" t="s">
        <v>174</v>
      </c>
      <c r="W34" s="340" t="s">
        <v>215</v>
      </c>
      <c r="X34" s="341" t="s">
        <v>176</v>
      </c>
      <c r="AA34" s="336"/>
      <c r="AB34" s="337" t="s">
        <v>172</v>
      </c>
      <c r="AC34" s="337" t="s">
        <v>173</v>
      </c>
      <c r="AD34" s="337" t="s">
        <v>174</v>
      </c>
      <c r="AE34" s="338" t="s">
        <v>215</v>
      </c>
      <c r="AF34" s="339" t="s">
        <v>176</v>
      </c>
    </row>
    <row r="35" spans="1:32" ht="15" thickTop="1" thickBot="1" x14ac:dyDescent="0.2">
      <c r="A35" s="303"/>
      <c r="B35" s="342"/>
      <c r="C35" s="343"/>
      <c r="D35" s="497" t="s">
        <v>43</v>
      </c>
      <c r="E35" s="498"/>
      <c r="F35" s="497" t="s">
        <v>44</v>
      </c>
      <c r="G35" s="498"/>
      <c r="H35" s="497" t="s">
        <v>45</v>
      </c>
      <c r="I35" s="498"/>
      <c r="J35" s="307" t="s">
        <v>46</v>
      </c>
      <c r="M35" s="340"/>
      <c r="N35" s="326">
        <f>IF(D37&gt;17,0,E37)</f>
        <v>48</v>
      </c>
      <c r="O35" s="326">
        <f>IF(F37&gt;17,0,G37)</f>
        <v>0</v>
      </c>
      <c r="P35" s="326">
        <f>IF(H37&gt;17,0,I37)</f>
        <v>0</v>
      </c>
      <c r="Q35" s="340">
        <f>+N35+O35+P35</f>
        <v>48</v>
      </c>
      <c r="R35" s="336">
        <f>IF(シート１!$K$18="いいえ",Q35,J37)</f>
        <v>48</v>
      </c>
      <c r="T35" s="344">
        <f>IF(D9&gt;17,0,E9)</f>
        <v>48</v>
      </c>
      <c r="U35" s="344">
        <f>IF(F9&gt;17,0,G9)</f>
        <v>0</v>
      </c>
      <c r="V35" s="344">
        <f>IF(H9&gt;17,0,I9)</f>
        <v>0</v>
      </c>
      <c r="W35" s="340">
        <f>+T35+U35+V35</f>
        <v>48</v>
      </c>
      <c r="X35" s="345">
        <f>IF(シート１!$K$18="いいえ",W35,J9)</f>
        <v>48</v>
      </c>
      <c r="Y35" s="306">
        <v>24</v>
      </c>
      <c r="AA35" s="340"/>
      <c r="AB35" s="326">
        <f>IF(AA3&gt;18,0,AB3)</f>
        <v>48</v>
      </c>
      <c r="AC35" s="326">
        <f>IF(AC3&gt;18,0,AD3)</f>
        <v>0</v>
      </c>
      <c r="AD35" s="326">
        <f>IF(AE3&gt;18,0,AF3)</f>
        <v>0</v>
      </c>
      <c r="AE35" s="340">
        <f>+AB35+AC35+AD35</f>
        <v>48</v>
      </c>
      <c r="AF35" s="336">
        <f>IF(シート１!$K$18="いいえ",AE35,J37)</f>
        <v>48</v>
      </c>
    </row>
    <row r="36" spans="1:32" ht="15" thickTop="1" thickBot="1" x14ac:dyDescent="0.2">
      <c r="A36" s="303"/>
      <c r="B36" s="346"/>
      <c r="C36" s="347"/>
      <c r="D36" s="307" t="s">
        <v>48</v>
      </c>
      <c r="E36" s="307" t="s">
        <v>212</v>
      </c>
      <c r="F36" s="309" t="s">
        <v>48</v>
      </c>
      <c r="G36" s="307" t="s">
        <v>49</v>
      </c>
      <c r="H36" s="307" t="s">
        <v>48</v>
      </c>
      <c r="I36" s="307" t="s">
        <v>49</v>
      </c>
      <c r="J36" s="307" t="s">
        <v>49</v>
      </c>
      <c r="M36" s="340"/>
      <c r="N36" s="326">
        <f t="shared" ref="N36:N60" si="15">IF(D38&gt;17,0,E38)</f>
        <v>48</v>
      </c>
      <c r="O36" s="326">
        <f t="shared" ref="O36:O60" si="16">IF(F38&gt;17,0,G38)</f>
        <v>24</v>
      </c>
      <c r="P36" s="326">
        <f t="shared" ref="P36:P60" si="17">IF(H38&gt;17,0,I38)</f>
        <v>0</v>
      </c>
      <c r="Q36" s="340">
        <f t="shared" ref="Q36:Q54" si="18">+N36+O36+P36</f>
        <v>72</v>
      </c>
      <c r="R36" s="340">
        <f>IF(シート１!$K$18="いいえ",Q36,J38)</f>
        <v>72</v>
      </c>
      <c r="T36" s="344">
        <f t="shared" ref="T36:T60" si="19">IF(D10&gt;17,0,E10)</f>
        <v>48</v>
      </c>
      <c r="U36" s="344">
        <f t="shared" ref="U36:U60" si="20">IF(F10&gt;17,0,G10)</f>
        <v>0</v>
      </c>
      <c r="V36" s="344">
        <f t="shared" ref="V36:V60" si="21">IF(H10&gt;17,0,I10)</f>
        <v>0</v>
      </c>
      <c r="W36" s="340">
        <f t="shared" ref="W36:W60" si="22">+T36+U36+V36</f>
        <v>48</v>
      </c>
      <c r="X36" s="345">
        <f>IF(シート１!$K$18="いいえ",W36,J10)</f>
        <v>48</v>
      </c>
      <c r="Y36" s="306">
        <v>25</v>
      </c>
      <c r="AA36" s="340"/>
      <c r="AB36" s="326">
        <f t="shared" ref="AB36:AB61" si="23">IF(AA4&gt;18,0,AB4)</f>
        <v>48</v>
      </c>
      <c r="AC36" s="326">
        <f t="shared" ref="AC36:AC61" si="24">IF(AC4&gt;18,0,AD4)</f>
        <v>24</v>
      </c>
      <c r="AD36" s="326">
        <f t="shared" ref="AD36:AD61" si="25">IF(AE4&gt;18,0,AF4)</f>
        <v>0</v>
      </c>
      <c r="AE36" s="340">
        <f t="shared" ref="AE36:AE52" si="26">+AB36+AC36+AD36</f>
        <v>72</v>
      </c>
      <c r="AF36" s="336">
        <f>IF(シート１!$K$18="いいえ",AE36,J38)</f>
        <v>72</v>
      </c>
    </row>
    <row r="37" spans="1:32" ht="15" thickTop="1" thickBot="1" x14ac:dyDescent="0.2">
      <c r="A37" s="303"/>
      <c r="B37" s="497">
        <v>2021</v>
      </c>
      <c r="C37" s="498"/>
      <c r="D37" s="313">
        <f>IF(F3="",0,F3)</f>
        <v>12</v>
      </c>
      <c r="E37" s="314">
        <f>VLOOKUP(D37,$M$8:$P$31,3,1)</f>
        <v>48</v>
      </c>
      <c r="F37" s="313">
        <f>IF(F4="",0,F4)</f>
        <v>0</v>
      </c>
      <c r="G37" s="314">
        <f>VLOOKUP(F37,$M$8:$P$31,3,1)</f>
        <v>0</v>
      </c>
      <c r="H37" s="313">
        <f>IF(F5="",0,F5)</f>
        <v>0</v>
      </c>
      <c r="I37" s="314">
        <f>VLOOKUP(H37,$M$8:$P$31,3,1)</f>
        <v>0</v>
      </c>
      <c r="J37" s="314">
        <f>+E37+G37+I37</f>
        <v>48</v>
      </c>
      <c r="M37" s="340"/>
      <c r="N37" s="326">
        <f t="shared" si="15"/>
        <v>73</v>
      </c>
      <c r="O37" s="326">
        <f t="shared" si="16"/>
        <v>24</v>
      </c>
      <c r="P37" s="326">
        <f t="shared" si="17"/>
        <v>0</v>
      </c>
      <c r="Q37" s="340">
        <f t="shared" si="18"/>
        <v>97</v>
      </c>
      <c r="R37" s="336">
        <f>IF(シート１!$K$18="いいえ",Q37,J39)</f>
        <v>97</v>
      </c>
      <c r="T37" s="344">
        <f t="shared" si="19"/>
        <v>48</v>
      </c>
      <c r="U37" s="344">
        <f t="shared" si="20"/>
        <v>0</v>
      </c>
      <c r="V37" s="344">
        <f t="shared" si="21"/>
        <v>0</v>
      </c>
      <c r="W37" s="340">
        <f t="shared" si="22"/>
        <v>48</v>
      </c>
      <c r="X37" s="345">
        <f>IF(シート１!$K$18="いいえ",W37,J11)</f>
        <v>48</v>
      </c>
      <c r="Y37" s="306">
        <v>26</v>
      </c>
      <c r="AA37" s="340"/>
      <c r="AB37" s="326">
        <f t="shared" si="23"/>
        <v>73</v>
      </c>
      <c r="AC37" s="326">
        <f t="shared" si="24"/>
        <v>24</v>
      </c>
      <c r="AD37" s="326">
        <f t="shared" si="25"/>
        <v>0</v>
      </c>
      <c r="AE37" s="340">
        <f t="shared" si="26"/>
        <v>97</v>
      </c>
      <c r="AF37" s="336">
        <f>IF(シート１!$K$18="いいえ",AE37,J39)</f>
        <v>97</v>
      </c>
    </row>
    <row r="38" spans="1:32" ht="15" thickTop="1" thickBot="1" x14ac:dyDescent="0.2">
      <c r="A38" s="303"/>
      <c r="B38" s="497">
        <v>2022</v>
      </c>
      <c r="C38" s="498"/>
      <c r="D38" s="314">
        <f>IF($F$3="",0,+D37+1)</f>
        <v>13</v>
      </c>
      <c r="E38" s="314">
        <f t="shared" ref="E38:E56" si="27">VLOOKUP(D38,$M$8:$P$31,3,1)</f>
        <v>48</v>
      </c>
      <c r="F38" s="316">
        <f>IF($F$4="",0,+F37+1)</f>
        <v>1</v>
      </c>
      <c r="G38" s="314">
        <f t="shared" ref="G38:G56" si="28">VLOOKUP(F38,$M$8:$P$31,3,1)</f>
        <v>24</v>
      </c>
      <c r="H38" s="314">
        <f>IF($F$5="",0,+H37+1)</f>
        <v>0</v>
      </c>
      <c r="I38" s="314">
        <f t="shared" ref="I38:I56" si="29">VLOOKUP(H38,$M$8:$P$31,3,1)</f>
        <v>0</v>
      </c>
      <c r="J38" s="314">
        <f t="shared" ref="J38:J56" si="30">+E38+G38+I38</f>
        <v>72</v>
      </c>
      <c r="M38" s="340"/>
      <c r="N38" s="326">
        <f t="shared" si="15"/>
        <v>60</v>
      </c>
      <c r="O38" s="326">
        <f t="shared" si="16"/>
        <v>24</v>
      </c>
      <c r="P38" s="326">
        <f t="shared" si="17"/>
        <v>0</v>
      </c>
      <c r="Q38" s="340">
        <f t="shared" si="18"/>
        <v>84</v>
      </c>
      <c r="R38" s="340">
        <f>IF(シート１!$K$18="いいえ",Q38,J40)</f>
        <v>84</v>
      </c>
      <c r="T38" s="344">
        <f t="shared" si="19"/>
        <v>46</v>
      </c>
      <c r="U38" s="344">
        <f t="shared" si="20"/>
        <v>22</v>
      </c>
      <c r="V38" s="344">
        <f t="shared" si="21"/>
        <v>0</v>
      </c>
      <c r="W38" s="340">
        <f t="shared" si="22"/>
        <v>68</v>
      </c>
      <c r="X38" s="345">
        <f>IF(シート１!$K$18="いいえ",W38,J12)</f>
        <v>68</v>
      </c>
      <c r="Y38" s="306">
        <v>27</v>
      </c>
      <c r="AA38" s="340"/>
      <c r="AB38" s="326">
        <f t="shared" si="23"/>
        <v>60</v>
      </c>
      <c r="AC38" s="326">
        <f t="shared" si="24"/>
        <v>24</v>
      </c>
      <c r="AD38" s="326">
        <f t="shared" si="25"/>
        <v>0</v>
      </c>
      <c r="AE38" s="340">
        <f t="shared" si="26"/>
        <v>84</v>
      </c>
      <c r="AF38" s="336">
        <f>IF(シート１!$K$18="いいえ",AE38,J40)</f>
        <v>84</v>
      </c>
    </row>
    <row r="39" spans="1:32" ht="15" thickTop="1" thickBot="1" x14ac:dyDescent="0.2">
      <c r="A39" s="303"/>
      <c r="B39" s="497">
        <v>2023</v>
      </c>
      <c r="C39" s="498"/>
      <c r="D39" s="314">
        <f t="shared" ref="D39:D65" si="31">IF($F$3="",0,+D38+1)</f>
        <v>14</v>
      </c>
      <c r="E39" s="314">
        <f t="shared" si="27"/>
        <v>73</v>
      </c>
      <c r="F39" s="316">
        <f t="shared" ref="F39:F65" si="32">IF($F$4="",0,+F38+1)</f>
        <v>2</v>
      </c>
      <c r="G39" s="314">
        <f t="shared" si="28"/>
        <v>24</v>
      </c>
      <c r="H39" s="314">
        <f t="shared" ref="H39:H65" si="33">IF($F$5="",0,+H38+1)</f>
        <v>0</v>
      </c>
      <c r="I39" s="314">
        <f t="shared" si="29"/>
        <v>0</v>
      </c>
      <c r="J39" s="314">
        <f t="shared" si="30"/>
        <v>97</v>
      </c>
      <c r="M39" s="340"/>
      <c r="N39" s="326">
        <f t="shared" si="15"/>
        <v>60</v>
      </c>
      <c r="O39" s="326">
        <f t="shared" si="16"/>
        <v>24</v>
      </c>
      <c r="P39" s="326">
        <f t="shared" si="17"/>
        <v>0</v>
      </c>
      <c r="Q39" s="340">
        <f t="shared" si="18"/>
        <v>84</v>
      </c>
      <c r="R39" s="336">
        <f>IF(シート１!$K$18="いいえ",Q39,J41)</f>
        <v>84</v>
      </c>
      <c r="T39" s="344">
        <f t="shared" si="19"/>
        <v>46</v>
      </c>
      <c r="U39" s="344">
        <f t="shared" si="20"/>
        <v>22</v>
      </c>
      <c r="V39" s="344">
        <f t="shared" si="21"/>
        <v>0</v>
      </c>
      <c r="W39" s="340">
        <f t="shared" si="22"/>
        <v>68</v>
      </c>
      <c r="X39" s="345">
        <f>IF(シート１!$K$18="いいえ",W39,J13)</f>
        <v>68</v>
      </c>
      <c r="Y39" s="306">
        <v>28</v>
      </c>
      <c r="AA39" s="340"/>
      <c r="AB39" s="326">
        <f t="shared" si="23"/>
        <v>60</v>
      </c>
      <c r="AC39" s="326">
        <f t="shared" si="24"/>
        <v>24</v>
      </c>
      <c r="AD39" s="326">
        <f t="shared" si="25"/>
        <v>0</v>
      </c>
      <c r="AE39" s="340">
        <f t="shared" si="26"/>
        <v>84</v>
      </c>
      <c r="AF39" s="336">
        <f>IF(シート１!$K$18="いいえ",AE39,J41)</f>
        <v>84</v>
      </c>
    </row>
    <row r="40" spans="1:32" ht="15" thickTop="1" thickBot="1" x14ac:dyDescent="0.2">
      <c r="A40" s="303"/>
      <c r="B40" s="497">
        <v>2024</v>
      </c>
      <c r="C40" s="498"/>
      <c r="D40" s="314">
        <f t="shared" si="31"/>
        <v>15</v>
      </c>
      <c r="E40" s="314">
        <f t="shared" si="27"/>
        <v>60</v>
      </c>
      <c r="F40" s="316">
        <f t="shared" si="32"/>
        <v>3</v>
      </c>
      <c r="G40" s="314">
        <f t="shared" si="28"/>
        <v>24</v>
      </c>
      <c r="H40" s="314">
        <f t="shared" si="33"/>
        <v>0</v>
      </c>
      <c r="I40" s="314">
        <f t="shared" si="29"/>
        <v>0</v>
      </c>
      <c r="J40" s="314">
        <f t="shared" si="30"/>
        <v>84</v>
      </c>
      <c r="M40" s="340"/>
      <c r="N40" s="326">
        <f t="shared" si="15"/>
        <v>90</v>
      </c>
      <c r="O40" s="326">
        <f t="shared" si="16"/>
        <v>24</v>
      </c>
      <c r="P40" s="326">
        <f t="shared" si="17"/>
        <v>0</v>
      </c>
      <c r="Q40" s="340">
        <f t="shared" si="18"/>
        <v>114</v>
      </c>
      <c r="R40" s="340">
        <f>IF(シート１!$K$18="いいえ",Q40,J42)</f>
        <v>114</v>
      </c>
      <c r="T40" s="344">
        <f t="shared" si="19"/>
        <v>46</v>
      </c>
      <c r="U40" s="344">
        <f t="shared" si="20"/>
        <v>22</v>
      </c>
      <c r="V40" s="344">
        <f t="shared" si="21"/>
        <v>0</v>
      </c>
      <c r="W40" s="340">
        <f t="shared" si="22"/>
        <v>68</v>
      </c>
      <c r="X40" s="345">
        <f>IF(シート１!$K$18="いいえ",W40,J14)</f>
        <v>68</v>
      </c>
      <c r="Y40" s="306">
        <v>29</v>
      </c>
      <c r="AA40" s="340"/>
      <c r="AB40" s="326">
        <f t="shared" si="23"/>
        <v>90</v>
      </c>
      <c r="AC40" s="326">
        <f t="shared" si="24"/>
        <v>24</v>
      </c>
      <c r="AD40" s="326">
        <f t="shared" si="25"/>
        <v>0</v>
      </c>
      <c r="AE40" s="340">
        <f t="shared" si="26"/>
        <v>114</v>
      </c>
      <c r="AF40" s="336">
        <f>IF(シート１!$K$18="いいえ",AE40,J42)</f>
        <v>114</v>
      </c>
    </row>
    <row r="41" spans="1:32" ht="15" thickTop="1" thickBot="1" x14ac:dyDescent="0.2">
      <c r="A41" s="303"/>
      <c r="B41" s="497">
        <v>2025</v>
      </c>
      <c r="C41" s="498"/>
      <c r="D41" s="314">
        <f t="shared" si="31"/>
        <v>16</v>
      </c>
      <c r="E41" s="314">
        <f t="shared" si="27"/>
        <v>60</v>
      </c>
      <c r="F41" s="316">
        <f t="shared" si="32"/>
        <v>4</v>
      </c>
      <c r="G41" s="314">
        <f t="shared" si="28"/>
        <v>24</v>
      </c>
      <c r="H41" s="314">
        <f t="shared" si="33"/>
        <v>0</v>
      </c>
      <c r="I41" s="314">
        <f t="shared" si="29"/>
        <v>0</v>
      </c>
      <c r="J41" s="314">
        <f t="shared" si="30"/>
        <v>84</v>
      </c>
      <c r="M41" s="340"/>
      <c r="N41" s="326">
        <f t="shared" si="15"/>
        <v>0</v>
      </c>
      <c r="O41" s="326">
        <f t="shared" si="16"/>
        <v>42</v>
      </c>
      <c r="P41" s="326">
        <f t="shared" si="17"/>
        <v>0</v>
      </c>
      <c r="Q41" s="340">
        <f t="shared" si="18"/>
        <v>42</v>
      </c>
      <c r="R41" s="340">
        <f>IF(シート１!$K$18="いいえ",Q41,J43)</f>
        <v>114</v>
      </c>
      <c r="T41" s="344">
        <f t="shared" si="19"/>
        <v>0</v>
      </c>
      <c r="U41" s="344">
        <f t="shared" si="20"/>
        <v>32</v>
      </c>
      <c r="V41" s="344">
        <f t="shared" si="21"/>
        <v>0</v>
      </c>
      <c r="W41" s="340">
        <f t="shared" si="22"/>
        <v>32</v>
      </c>
      <c r="X41" s="345">
        <f>IF(シート１!$K$18="いいえ",W41,J15)</f>
        <v>114</v>
      </c>
      <c r="Y41" s="306">
        <v>30</v>
      </c>
      <c r="AA41" s="340"/>
      <c r="AB41" s="326">
        <f t="shared" si="23"/>
        <v>0</v>
      </c>
      <c r="AC41" s="326">
        <f t="shared" si="24"/>
        <v>42</v>
      </c>
      <c r="AD41" s="326">
        <f t="shared" si="25"/>
        <v>0</v>
      </c>
      <c r="AE41" s="340">
        <f t="shared" si="26"/>
        <v>42</v>
      </c>
      <c r="AF41" s="336">
        <f>IF(シート１!$K$18="いいえ",AE41,J43)</f>
        <v>114</v>
      </c>
    </row>
    <row r="42" spans="1:32" ht="15" thickTop="1" thickBot="1" x14ac:dyDescent="0.2">
      <c r="A42" s="303"/>
      <c r="B42" s="497">
        <v>2026</v>
      </c>
      <c r="C42" s="498"/>
      <c r="D42" s="314">
        <f t="shared" si="31"/>
        <v>17</v>
      </c>
      <c r="E42" s="314">
        <f t="shared" si="27"/>
        <v>90</v>
      </c>
      <c r="F42" s="316">
        <f t="shared" si="32"/>
        <v>5</v>
      </c>
      <c r="G42" s="314">
        <f t="shared" si="28"/>
        <v>24</v>
      </c>
      <c r="H42" s="314">
        <f t="shared" si="33"/>
        <v>0</v>
      </c>
      <c r="I42" s="314">
        <f t="shared" si="29"/>
        <v>0</v>
      </c>
      <c r="J42" s="314">
        <f t="shared" si="30"/>
        <v>114</v>
      </c>
      <c r="M42" s="340"/>
      <c r="N42" s="326">
        <f t="shared" si="15"/>
        <v>0</v>
      </c>
      <c r="O42" s="326">
        <f t="shared" si="16"/>
        <v>36</v>
      </c>
      <c r="P42" s="326">
        <f t="shared" si="17"/>
        <v>0</v>
      </c>
      <c r="Q42" s="340">
        <f t="shared" si="18"/>
        <v>36</v>
      </c>
      <c r="R42" s="340">
        <f>IF(シート１!$K$18="いいえ",Q42,J44)</f>
        <v>108</v>
      </c>
      <c r="T42" s="344">
        <f t="shared" si="19"/>
        <v>0</v>
      </c>
      <c r="U42" s="344">
        <f t="shared" si="20"/>
        <v>32</v>
      </c>
      <c r="V42" s="344">
        <f t="shared" si="21"/>
        <v>0</v>
      </c>
      <c r="W42" s="340">
        <f t="shared" si="22"/>
        <v>32</v>
      </c>
      <c r="X42" s="345">
        <f>IF(シート１!$K$18="いいえ",W42,J16)</f>
        <v>86</v>
      </c>
      <c r="Y42" s="306">
        <v>31</v>
      </c>
      <c r="AA42" s="340"/>
      <c r="AB42" s="326">
        <f t="shared" si="23"/>
        <v>0</v>
      </c>
      <c r="AC42" s="326">
        <f t="shared" si="24"/>
        <v>36</v>
      </c>
      <c r="AD42" s="326">
        <f t="shared" si="25"/>
        <v>0</v>
      </c>
      <c r="AE42" s="340">
        <f t="shared" si="26"/>
        <v>36</v>
      </c>
      <c r="AF42" s="336">
        <f>IF(シート１!$K$18="いいえ",AE42,J44)</f>
        <v>108</v>
      </c>
    </row>
    <row r="43" spans="1:32" ht="15" thickTop="1" thickBot="1" x14ac:dyDescent="0.2">
      <c r="A43" s="303"/>
      <c r="B43" s="497">
        <v>2027</v>
      </c>
      <c r="C43" s="498"/>
      <c r="D43" s="314">
        <f t="shared" si="31"/>
        <v>18</v>
      </c>
      <c r="E43" s="314">
        <f t="shared" si="27"/>
        <v>72</v>
      </c>
      <c r="F43" s="316">
        <f t="shared" si="32"/>
        <v>6</v>
      </c>
      <c r="G43" s="314">
        <f t="shared" si="28"/>
        <v>42</v>
      </c>
      <c r="H43" s="314">
        <f t="shared" si="33"/>
        <v>0</v>
      </c>
      <c r="I43" s="314">
        <f t="shared" si="29"/>
        <v>0</v>
      </c>
      <c r="J43" s="314">
        <f t="shared" si="30"/>
        <v>114</v>
      </c>
      <c r="M43" s="340"/>
      <c r="N43" s="326">
        <f t="shared" si="15"/>
        <v>0</v>
      </c>
      <c r="O43" s="326">
        <f t="shared" si="16"/>
        <v>36</v>
      </c>
      <c r="P43" s="326">
        <f t="shared" si="17"/>
        <v>0</v>
      </c>
      <c r="Q43" s="340">
        <f t="shared" si="18"/>
        <v>36</v>
      </c>
      <c r="R43" s="340">
        <f>IF(シート１!$L$18="いいえ",Q43,J45)</f>
        <v>108</v>
      </c>
      <c r="T43" s="344">
        <f t="shared" si="19"/>
        <v>0</v>
      </c>
      <c r="U43" s="344">
        <f t="shared" si="20"/>
        <v>32</v>
      </c>
      <c r="V43" s="344">
        <f t="shared" si="21"/>
        <v>0</v>
      </c>
      <c r="W43" s="340">
        <f t="shared" si="22"/>
        <v>32</v>
      </c>
      <c r="X43" s="345">
        <f>IF(シート１!$K$18="いいえ",W43,J17)</f>
        <v>86</v>
      </c>
      <c r="Y43" s="306">
        <v>32</v>
      </c>
      <c r="AA43" s="340"/>
      <c r="AB43" s="326">
        <f t="shared" si="23"/>
        <v>0</v>
      </c>
      <c r="AC43" s="326">
        <f t="shared" si="24"/>
        <v>36</v>
      </c>
      <c r="AD43" s="326">
        <f t="shared" si="25"/>
        <v>0</v>
      </c>
      <c r="AE43" s="340">
        <f t="shared" si="26"/>
        <v>36</v>
      </c>
      <c r="AF43" s="336">
        <f>IF(シート１!$K$18="いいえ",AE43,J45)</f>
        <v>108</v>
      </c>
    </row>
    <row r="44" spans="1:32" ht="15" thickTop="1" thickBot="1" x14ac:dyDescent="0.2">
      <c r="A44" s="303"/>
      <c r="B44" s="497">
        <v>2028</v>
      </c>
      <c r="C44" s="498"/>
      <c r="D44" s="314">
        <f t="shared" si="31"/>
        <v>19</v>
      </c>
      <c r="E44" s="314">
        <f t="shared" si="27"/>
        <v>72</v>
      </c>
      <c r="F44" s="316">
        <f t="shared" si="32"/>
        <v>7</v>
      </c>
      <c r="G44" s="314">
        <f t="shared" si="28"/>
        <v>36</v>
      </c>
      <c r="H44" s="314">
        <f t="shared" si="33"/>
        <v>0</v>
      </c>
      <c r="I44" s="314">
        <f t="shared" si="29"/>
        <v>0</v>
      </c>
      <c r="J44" s="314">
        <f t="shared" si="30"/>
        <v>108</v>
      </c>
      <c r="M44" s="340"/>
      <c r="N44" s="326">
        <f t="shared" si="15"/>
        <v>0</v>
      </c>
      <c r="O44" s="326">
        <f t="shared" si="16"/>
        <v>36</v>
      </c>
      <c r="P44" s="326">
        <f t="shared" si="17"/>
        <v>0</v>
      </c>
      <c r="Q44" s="340">
        <f t="shared" si="18"/>
        <v>36</v>
      </c>
      <c r="R44" s="336">
        <f>IF(シート１!$K$18="いいえ",Q44,J46)</f>
        <v>108</v>
      </c>
      <c r="T44" s="344">
        <f t="shared" si="19"/>
        <v>0</v>
      </c>
      <c r="U44" s="344">
        <f t="shared" si="20"/>
        <v>32</v>
      </c>
      <c r="V44" s="344">
        <f t="shared" si="21"/>
        <v>0</v>
      </c>
      <c r="W44" s="340">
        <f t="shared" si="22"/>
        <v>32</v>
      </c>
      <c r="X44" s="345">
        <f>IF(シート１!$K$18="いいえ",W44,J18)</f>
        <v>86</v>
      </c>
      <c r="Y44" s="306">
        <v>33</v>
      </c>
      <c r="AA44" s="340"/>
      <c r="AB44" s="326">
        <f t="shared" si="23"/>
        <v>0</v>
      </c>
      <c r="AC44" s="326">
        <f t="shared" si="24"/>
        <v>36</v>
      </c>
      <c r="AD44" s="326">
        <f t="shared" si="25"/>
        <v>0</v>
      </c>
      <c r="AE44" s="340">
        <f t="shared" si="26"/>
        <v>36</v>
      </c>
      <c r="AF44" s="336">
        <f>IF(シート１!$K$18="いいえ",AE44,J46)</f>
        <v>108</v>
      </c>
    </row>
    <row r="45" spans="1:32" ht="15" thickTop="1" thickBot="1" x14ac:dyDescent="0.2">
      <c r="A45" s="303"/>
      <c r="B45" s="497">
        <v>2029</v>
      </c>
      <c r="C45" s="498"/>
      <c r="D45" s="314">
        <f t="shared" si="31"/>
        <v>20</v>
      </c>
      <c r="E45" s="314">
        <f t="shared" si="27"/>
        <v>72</v>
      </c>
      <c r="F45" s="316">
        <f t="shared" si="32"/>
        <v>8</v>
      </c>
      <c r="G45" s="314">
        <f t="shared" si="28"/>
        <v>36</v>
      </c>
      <c r="H45" s="314">
        <f t="shared" si="33"/>
        <v>0</v>
      </c>
      <c r="I45" s="314">
        <f t="shared" si="29"/>
        <v>0</v>
      </c>
      <c r="J45" s="314">
        <f t="shared" si="30"/>
        <v>108</v>
      </c>
      <c r="M45" s="340"/>
      <c r="N45" s="326">
        <f t="shared" si="15"/>
        <v>0</v>
      </c>
      <c r="O45" s="326">
        <f t="shared" si="16"/>
        <v>36</v>
      </c>
      <c r="P45" s="326">
        <f t="shared" si="17"/>
        <v>0</v>
      </c>
      <c r="Q45" s="340">
        <f t="shared" si="18"/>
        <v>36</v>
      </c>
      <c r="R45" s="340">
        <f>IF(シート１!$K$18="いいえ",Q45,J47)</f>
        <v>36</v>
      </c>
      <c r="T45" s="344">
        <f t="shared" si="19"/>
        <v>0</v>
      </c>
      <c r="U45" s="344">
        <f t="shared" si="20"/>
        <v>32</v>
      </c>
      <c r="V45" s="344">
        <f t="shared" si="21"/>
        <v>0</v>
      </c>
      <c r="W45" s="340">
        <f t="shared" si="22"/>
        <v>32</v>
      </c>
      <c r="X45" s="345">
        <f>IF(シート１!$K$18="いいえ",W45,J19)</f>
        <v>32</v>
      </c>
      <c r="Y45" s="306">
        <v>34</v>
      </c>
      <c r="AA45" s="340"/>
      <c r="AB45" s="326">
        <f t="shared" si="23"/>
        <v>0</v>
      </c>
      <c r="AC45" s="326">
        <f t="shared" si="24"/>
        <v>36</v>
      </c>
      <c r="AD45" s="326">
        <f t="shared" si="25"/>
        <v>0</v>
      </c>
      <c r="AE45" s="340">
        <f t="shared" si="26"/>
        <v>36</v>
      </c>
      <c r="AF45" s="336">
        <f>IF(シート１!$K$18="いいえ",AE45,J47)</f>
        <v>36</v>
      </c>
    </row>
    <row r="46" spans="1:32" ht="15" thickTop="1" thickBot="1" x14ac:dyDescent="0.2">
      <c r="A46" s="303"/>
      <c r="B46" s="497">
        <v>2030</v>
      </c>
      <c r="C46" s="498"/>
      <c r="D46" s="314">
        <f t="shared" si="31"/>
        <v>21</v>
      </c>
      <c r="E46" s="314">
        <f t="shared" si="27"/>
        <v>72</v>
      </c>
      <c r="F46" s="316">
        <f t="shared" si="32"/>
        <v>9</v>
      </c>
      <c r="G46" s="314">
        <f t="shared" si="28"/>
        <v>36</v>
      </c>
      <c r="H46" s="314">
        <f t="shared" si="33"/>
        <v>0</v>
      </c>
      <c r="I46" s="314">
        <f t="shared" si="29"/>
        <v>0</v>
      </c>
      <c r="J46" s="314">
        <f t="shared" si="30"/>
        <v>108</v>
      </c>
      <c r="M46" s="340"/>
      <c r="N46" s="326">
        <f t="shared" si="15"/>
        <v>0</v>
      </c>
      <c r="O46" s="326">
        <f t="shared" si="16"/>
        <v>51</v>
      </c>
      <c r="P46" s="326">
        <f t="shared" si="17"/>
        <v>0</v>
      </c>
      <c r="Q46" s="340">
        <f t="shared" si="18"/>
        <v>51</v>
      </c>
      <c r="R46" s="340">
        <f>IF(シート１!$K$18="いいえ",Q46,J48)</f>
        <v>51</v>
      </c>
      <c r="T46" s="344">
        <f t="shared" si="19"/>
        <v>0</v>
      </c>
      <c r="U46" s="344">
        <f t="shared" si="20"/>
        <v>32</v>
      </c>
      <c r="V46" s="344">
        <f t="shared" si="21"/>
        <v>0</v>
      </c>
      <c r="W46" s="340">
        <f t="shared" si="22"/>
        <v>32</v>
      </c>
      <c r="X46" s="345">
        <f>IF(シート１!$K$18="いいえ",W46,J20)</f>
        <v>32</v>
      </c>
      <c r="Y46" s="306">
        <v>35</v>
      </c>
      <c r="AA46" s="340"/>
      <c r="AB46" s="326">
        <f>IF(AA14&gt;18,0,AB14)</f>
        <v>0</v>
      </c>
      <c r="AC46" s="326">
        <f t="shared" si="24"/>
        <v>51</v>
      </c>
      <c r="AD46" s="326">
        <f t="shared" si="25"/>
        <v>0</v>
      </c>
      <c r="AE46" s="340">
        <f t="shared" si="26"/>
        <v>51</v>
      </c>
      <c r="AF46" s="336">
        <f>IF(シート１!$K$18="いいえ",AE46,J48)</f>
        <v>51</v>
      </c>
    </row>
    <row r="47" spans="1:32" ht="15" thickTop="1" thickBot="1" x14ac:dyDescent="0.2">
      <c r="A47" s="303"/>
      <c r="B47" s="497">
        <v>2031</v>
      </c>
      <c r="C47" s="498"/>
      <c r="D47" s="314">
        <f t="shared" si="31"/>
        <v>22</v>
      </c>
      <c r="E47" s="314">
        <f t="shared" si="27"/>
        <v>0</v>
      </c>
      <c r="F47" s="316">
        <f t="shared" si="32"/>
        <v>10</v>
      </c>
      <c r="G47" s="314">
        <f t="shared" si="28"/>
        <v>36</v>
      </c>
      <c r="H47" s="314">
        <f t="shared" si="33"/>
        <v>0</v>
      </c>
      <c r="I47" s="314">
        <f t="shared" si="29"/>
        <v>0</v>
      </c>
      <c r="J47" s="314">
        <f t="shared" si="30"/>
        <v>36</v>
      </c>
      <c r="M47" s="340"/>
      <c r="N47" s="326">
        <f t="shared" si="15"/>
        <v>0</v>
      </c>
      <c r="O47" s="326">
        <f t="shared" si="16"/>
        <v>48</v>
      </c>
      <c r="P47" s="326">
        <f t="shared" si="17"/>
        <v>0</v>
      </c>
      <c r="Q47" s="340">
        <f t="shared" si="18"/>
        <v>48</v>
      </c>
      <c r="R47" s="340">
        <f>IF(シート１!$K$18="いいえ",Q47,J49)</f>
        <v>48</v>
      </c>
      <c r="T47" s="344">
        <f t="shared" si="19"/>
        <v>0</v>
      </c>
      <c r="U47" s="344">
        <f t="shared" si="20"/>
        <v>48</v>
      </c>
      <c r="V47" s="344">
        <f t="shared" si="21"/>
        <v>0</v>
      </c>
      <c r="W47" s="340">
        <f t="shared" si="22"/>
        <v>48</v>
      </c>
      <c r="X47" s="345">
        <f>IF(シート１!$K$18="いいえ",W47,J21)</f>
        <v>48</v>
      </c>
      <c r="Y47" s="306">
        <v>36</v>
      </c>
      <c r="AA47" s="340"/>
      <c r="AB47" s="326">
        <f t="shared" si="23"/>
        <v>0</v>
      </c>
      <c r="AC47" s="326">
        <f t="shared" si="24"/>
        <v>48</v>
      </c>
      <c r="AD47" s="326">
        <f t="shared" si="25"/>
        <v>0</v>
      </c>
      <c r="AE47" s="340">
        <f t="shared" si="26"/>
        <v>48</v>
      </c>
      <c r="AF47" s="336">
        <f>IF(シート１!$K$18="いいえ",AE47,J49)</f>
        <v>48</v>
      </c>
    </row>
    <row r="48" spans="1:32" ht="15" thickTop="1" thickBot="1" x14ac:dyDescent="0.2">
      <c r="A48" s="303"/>
      <c r="B48" s="497">
        <v>2032</v>
      </c>
      <c r="C48" s="498"/>
      <c r="D48" s="314">
        <f t="shared" si="31"/>
        <v>23</v>
      </c>
      <c r="E48" s="314">
        <f t="shared" si="27"/>
        <v>0</v>
      </c>
      <c r="F48" s="316">
        <f t="shared" si="32"/>
        <v>11</v>
      </c>
      <c r="G48" s="314">
        <f t="shared" si="28"/>
        <v>51</v>
      </c>
      <c r="H48" s="314">
        <f t="shared" si="33"/>
        <v>0</v>
      </c>
      <c r="I48" s="314">
        <f t="shared" si="29"/>
        <v>0</v>
      </c>
      <c r="J48" s="314">
        <f t="shared" si="30"/>
        <v>51</v>
      </c>
      <c r="M48" s="340"/>
      <c r="N48" s="326">
        <f t="shared" si="15"/>
        <v>0</v>
      </c>
      <c r="O48" s="326">
        <f t="shared" si="16"/>
        <v>48</v>
      </c>
      <c r="P48" s="326">
        <f t="shared" si="17"/>
        <v>0</v>
      </c>
      <c r="Q48" s="340">
        <f t="shared" si="18"/>
        <v>48</v>
      </c>
      <c r="R48" s="340">
        <f>IF(シート１!$L$18="いいえ",Q48,J50)</f>
        <v>48</v>
      </c>
      <c r="T48" s="344">
        <f t="shared" si="19"/>
        <v>0</v>
      </c>
      <c r="U48" s="344">
        <f t="shared" si="20"/>
        <v>48</v>
      </c>
      <c r="V48" s="344">
        <f t="shared" si="21"/>
        <v>0</v>
      </c>
      <c r="W48" s="340">
        <f t="shared" si="22"/>
        <v>48</v>
      </c>
      <c r="X48" s="345">
        <f>IF(シート１!$K$18="いいえ",W48,J22)</f>
        <v>48</v>
      </c>
      <c r="Y48" s="306">
        <v>37</v>
      </c>
      <c r="AA48" s="340"/>
      <c r="AB48" s="326">
        <f t="shared" si="23"/>
        <v>0</v>
      </c>
      <c r="AC48" s="326">
        <f t="shared" si="24"/>
        <v>48</v>
      </c>
      <c r="AD48" s="326">
        <f t="shared" si="25"/>
        <v>0</v>
      </c>
      <c r="AE48" s="340">
        <f t="shared" si="26"/>
        <v>48</v>
      </c>
      <c r="AF48" s="336">
        <f>IF(シート１!$K$18="いいえ",AE48,J50)</f>
        <v>48</v>
      </c>
    </row>
    <row r="49" spans="1:32" ht="15" thickTop="1" thickBot="1" x14ac:dyDescent="0.2">
      <c r="A49" s="303"/>
      <c r="B49" s="497">
        <v>2033</v>
      </c>
      <c r="C49" s="498"/>
      <c r="D49" s="314">
        <f t="shared" si="31"/>
        <v>24</v>
      </c>
      <c r="E49" s="314">
        <f t="shared" si="27"/>
        <v>0</v>
      </c>
      <c r="F49" s="316">
        <f t="shared" si="32"/>
        <v>12</v>
      </c>
      <c r="G49" s="314">
        <f t="shared" si="28"/>
        <v>48</v>
      </c>
      <c r="H49" s="314">
        <f t="shared" si="33"/>
        <v>0</v>
      </c>
      <c r="I49" s="314">
        <f t="shared" si="29"/>
        <v>0</v>
      </c>
      <c r="J49" s="314">
        <f t="shared" si="30"/>
        <v>48</v>
      </c>
      <c r="M49" s="340"/>
      <c r="N49" s="326">
        <f t="shared" si="15"/>
        <v>0</v>
      </c>
      <c r="O49" s="326">
        <f t="shared" si="16"/>
        <v>73</v>
      </c>
      <c r="P49" s="326">
        <f t="shared" si="17"/>
        <v>0</v>
      </c>
      <c r="Q49" s="340">
        <f t="shared" si="18"/>
        <v>73</v>
      </c>
      <c r="R49" s="336">
        <f>IF(シート１!$K$18="いいえ",Q49,J51)</f>
        <v>73</v>
      </c>
      <c r="T49" s="344">
        <f t="shared" si="19"/>
        <v>0</v>
      </c>
      <c r="U49" s="344">
        <f t="shared" si="20"/>
        <v>48</v>
      </c>
      <c r="V49" s="344">
        <f t="shared" si="21"/>
        <v>0</v>
      </c>
      <c r="W49" s="340">
        <f t="shared" si="22"/>
        <v>48</v>
      </c>
      <c r="X49" s="345">
        <f>IF(シート１!$K$18="いいえ",W49,J23)</f>
        <v>48</v>
      </c>
      <c r="Y49" s="306">
        <v>38</v>
      </c>
      <c r="AA49" s="340"/>
      <c r="AB49" s="326">
        <f t="shared" si="23"/>
        <v>0</v>
      </c>
      <c r="AC49" s="326">
        <f t="shared" si="24"/>
        <v>73</v>
      </c>
      <c r="AD49" s="326">
        <f t="shared" si="25"/>
        <v>0</v>
      </c>
      <c r="AE49" s="340">
        <f t="shared" si="26"/>
        <v>73</v>
      </c>
      <c r="AF49" s="336">
        <f>IF(シート１!$K$18="いいえ",AE49,J51)</f>
        <v>73</v>
      </c>
    </row>
    <row r="50" spans="1:32" ht="15" thickTop="1" thickBot="1" x14ac:dyDescent="0.2">
      <c r="A50" s="303"/>
      <c r="B50" s="497">
        <v>2034</v>
      </c>
      <c r="C50" s="498"/>
      <c r="D50" s="314">
        <f t="shared" si="31"/>
        <v>25</v>
      </c>
      <c r="E50" s="314">
        <f t="shared" si="27"/>
        <v>0</v>
      </c>
      <c r="F50" s="316">
        <f t="shared" si="32"/>
        <v>13</v>
      </c>
      <c r="G50" s="314">
        <f t="shared" si="28"/>
        <v>48</v>
      </c>
      <c r="H50" s="314">
        <f t="shared" si="33"/>
        <v>0</v>
      </c>
      <c r="I50" s="314">
        <f t="shared" si="29"/>
        <v>0</v>
      </c>
      <c r="J50" s="314">
        <f t="shared" si="30"/>
        <v>48</v>
      </c>
      <c r="M50" s="340"/>
      <c r="N50" s="326">
        <f t="shared" si="15"/>
        <v>0</v>
      </c>
      <c r="O50" s="326">
        <f t="shared" si="16"/>
        <v>60</v>
      </c>
      <c r="P50" s="326">
        <f t="shared" si="17"/>
        <v>0</v>
      </c>
      <c r="Q50" s="340">
        <f t="shared" si="18"/>
        <v>60</v>
      </c>
      <c r="R50" s="336">
        <f>IF(シート１!$K$18="いいえ",Q50,J52)</f>
        <v>60</v>
      </c>
      <c r="T50" s="344">
        <f t="shared" si="19"/>
        <v>0</v>
      </c>
      <c r="U50" s="344">
        <f t="shared" si="20"/>
        <v>46</v>
      </c>
      <c r="V50" s="344">
        <f t="shared" si="21"/>
        <v>0</v>
      </c>
      <c r="W50" s="340">
        <f t="shared" si="22"/>
        <v>46</v>
      </c>
      <c r="X50" s="345">
        <f>IF(シート１!$K$18="いいえ",W50,J24)</f>
        <v>46</v>
      </c>
      <c r="Y50" s="306">
        <v>39</v>
      </c>
      <c r="AA50" s="340"/>
      <c r="AB50" s="326">
        <f t="shared" si="23"/>
        <v>0</v>
      </c>
      <c r="AC50" s="326">
        <f t="shared" si="24"/>
        <v>60</v>
      </c>
      <c r="AD50" s="326">
        <f t="shared" si="25"/>
        <v>0</v>
      </c>
      <c r="AE50" s="340">
        <f t="shared" si="26"/>
        <v>60</v>
      </c>
      <c r="AF50" s="336">
        <f>IF(シート１!$K$18="いいえ",AE50,J52)</f>
        <v>60</v>
      </c>
    </row>
    <row r="51" spans="1:32" ht="15" thickTop="1" thickBot="1" x14ac:dyDescent="0.2">
      <c r="A51" s="303"/>
      <c r="B51" s="497">
        <v>2035</v>
      </c>
      <c r="C51" s="498"/>
      <c r="D51" s="314">
        <f t="shared" si="31"/>
        <v>26</v>
      </c>
      <c r="E51" s="314">
        <f t="shared" si="27"/>
        <v>0</v>
      </c>
      <c r="F51" s="316">
        <f t="shared" si="32"/>
        <v>14</v>
      </c>
      <c r="G51" s="314">
        <f t="shared" si="28"/>
        <v>73</v>
      </c>
      <c r="H51" s="314">
        <f t="shared" si="33"/>
        <v>0</v>
      </c>
      <c r="I51" s="314">
        <f t="shared" si="29"/>
        <v>0</v>
      </c>
      <c r="J51" s="314">
        <f t="shared" si="30"/>
        <v>73</v>
      </c>
      <c r="M51" s="340"/>
      <c r="N51" s="326">
        <f t="shared" si="15"/>
        <v>0</v>
      </c>
      <c r="O51" s="326">
        <f t="shared" si="16"/>
        <v>60</v>
      </c>
      <c r="P51" s="326">
        <f t="shared" si="17"/>
        <v>0</v>
      </c>
      <c r="Q51" s="340">
        <f t="shared" si="18"/>
        <v>60</v>
      </c>
      <c r="R51" s="340">
        <f>IF(シート１!$K$18="いいえ",Q51,J53)</f>
        <v>60</v>
      </c>
      <c r="T51" s="344">
        <f t="shared" si="19"/>
        <v>0</v>
      </c>
      <c r="U51" s="344">
        <f t="shared" si="20"/>
        <v>46</v>
      </c>
      <c r="V51" s="344">
        <f t="shared" si="21"/>
        <v>0</v>
      </c>
      <c r="W51" s="340">
        <f t="shared" si="22"/>
        <v>46</v>
      </c>
      <c r="X51" s="345">
        <f>IF(シート１!$K$18="いいえ",W51,J25)</f>
        <v>46</v>
      </c>
      <c r="Y51" s="306">
        <v>40</v>
      </c>
      <c r="AA51" s="340"/>
      <c r="AB51" s="326">
        <f t="shared" si="23"/>
        <v>0</v>
      </c>
      <c r="AC51" s="326">
        <f t="shared" si="24"/>
        <v>60</v>
      </c>
      <c r="AD51" s="326">
        <f t="shared" si="25"/>
        <v>0</v>
      </c>
      <c r="AE51" s="340">
        <f t="shared" si="26"/>
        <v>60</v>
      </c>
      <c r="AF51" s="336">
        <f>IF(シート１!$K$18="いいえ",AE51,J53)</f>
        <v>60</v>
      </c>
    </row>
    <row r="52" spans="1:32" ht="15" thickTop="1" thickBot="1" x14ac:dyDescent="0.2">
      <c r="A52" s="303"/>
      <c r="B52" s="497">
        <v>2036</v>
      </c>
      <c r="C52" s="498"/>
      <c r="D52" s="314">
        <f t="shared" si="31"/>
        <v>27</v>
      </c>
      <c r="E52" s="314">
        <f t="shared" si="27"/>
        <v>0</v>
      </c>
      <c r="F52" s="316">
        <f t="shared" si="32"/>
        <v>15</v>
      </c>
      <c r="G52" s="314">
        <f t="shared" si="28"/>
        <v>60</v>
      </c>
      <c r="H52" s="314">
        <f t="shared" si="33"/>
        <v>0</v>
      </c>
      <c r="I52" s="314">
        <f t="shared" si="29"/>
        <v>0</v>
      </c>
      <c r="J52" s="314">
        <f t="shared" si="30"/>
        <v>60</v>
      </c>
      <c r="M52" s="340"/>
      <c r="N52" s="326">
        <f t="shared" si="15"/>
        <v>0</v>
      </c>
      <c r="O52" s="326">
        <f t="shared" si="16"/>
        <v>90</v>
      </c>
      <c r="P52" s="326">
        <f t="shared" si="17"/>
        <v>0</v>
      </c>
      <c r="Q52" s="340">
        <f t="shared" si="18"/>
        <v>90</v>
      </c>
      <c r="R52" s="340">
        <f>IF(シート１!$K$18="いいえ",Q52,J54)</f>
        <v>90</v>
      </c>
      <c r="T52" s="344">
        <f t="shared" si="19"/>
        <v>0</v>
      </c>
      <c r="U52" s="344">
        <f t="shared" si="20"/>
        <v>46</v>
      </c>
      <c r="V52" s="344">
        <f t="shared" si="21"/>
        <v>0</v>
      </c>
      <c r="W52" s="340">
        <f t="shared" si="22"/>
        <v>46</v>
      </c>
      <c r="X52" s="345">
        <f>IF(シート１!$K$18="いいえ",W52,J26)</f>
        <v>46</v>
      </c>
      <c r="Y52" s="306">
        <v>41</v>
      </c>
      <c r="AA52" s="340"/>
      <c r="AB52" s="326">
        <f t="shared" si="23"/>
        <v>0</v>
      </c>
      <c r="AC52" s="326">
        <f t="shared" si="24"/>
        <v>90</v>
      </c>
      <c r="AD52" s="326">
        <f t="shared" si="25"/>
        <v>0</v>
      </c>
      <c r="AE52" s="340">
        <f t="shared" si="26"/>
        <v>90</v>
      </c>
      <c r="AF52" s="336">
        <f>IF(シート１!$K$18="いいえ",AE52,J54)</f>
        <v>90</v>
      </c>
    </row>
    <row r="53" spans="1:32" ht="15" thickTop="1" thickBot="1" x14ac:dyDescent="0.2">
      <c r="A53" s="303"/>
      <c r="B53" s="497">
        <v>2037</v>
      </c>
      <c r="C53" s="498"/>
      <c r="D53" s="314">
        <f t="shared" si="31"/>
        <v>28</v>
      </c>
      <c r="E53" s="314">
        <f t="shared" si="27"/>
        <v>0</v>
      </c>
      <c r="F53" s="316">
        <f t="shared" si="32"/>
        <v>16</v>
      </c>
      <c r="G53" s="314">
        <f t="shared" si="28"/>
        <v>60</v>
      </c>
      <c r="H53" s="314">
        <f t="shared" si="33"/>
        <v>0</v>
      </c>
      <c r="I53" s="314">
        <f t="shared" si="29"/>
        <v>0</v>
      </c>
      <c r="J53" s="314">
        <f t="shared" si="30"/>
        <v>60</v>
      </c>
      <c r="M53" s="340"/>
      <c r="N53" s="326">
        <f t="shared" si="15"/>
        <v>0</v>
      </c>
      <c r="O53" s="326">
        <f t="shared" si="16"/>
        <v>0</v>
      </c>
      <c r="P53" s="326">
        <f t="shared" si="17"/>
        <v>0</v>
      </c>
      <c r="Q53" s="340">
        <f t="shared" si="18"/>
        <v>0</v>
      </c>
      <c r="R53" s="340">
        <f>IF(シート１!$K$18="いいえ",Q53,J55)</f>
        <v>72</v>
      </c>
      <c r="T53" s="344">
        <f t="shared" si="19"/>
        <v>0</v>
      </c>
      <c r="U53" s="344">
        <f t="shared" si="20"/>
        <v>0</v>
      </c>
      <c r="V53" s="344">
        <f t="shared" si="21"/>
        <v>0</v>
      </c>
      <c r="W53" s="340">
        <f t="shared" si="22"/>
        <v>0</v>
      </c>
      <c r="X53" s="345">
        <f>IF(シート１!$K$18="いいえ",W53,J27)</f>
        <v>82</v>
      </c>
      <c r="Y53" s="306">
        <v>42</v>
      </c>
      <c r="AB53" s="326">
        <f t="shared" si="23"/>
        <v>0</v>
      </c>
      <c r="AC53" s="326">
        <f t="shared" si="24"/>
        <v>0</v>
      </c>
      <c r="AD53" s="326">
        <f t="shared" si="25"/>
        <v>0</v>
      </c>
      <c r="AE53" s="340">
        <f t="shared" ref="AE53:AE61" si="34">+AB53+AC53+AD53</f>
        <v>0</v>
      </c>
      <c r="AF53" s="336">
        <f>IF(シート１!$K$18="いいえ",AE53,J55)</f>
        <v>72</v>
      </c>
    </row>
    <row r="54" spans="1:32" ht="15" thickTop="1" thickBot="1" x14ac:dyDescent="0.2">
      <c r="A54" s="303"/>
      <c r="B54" s="497">
        <v>2038</v>
      </c>
      <c r="C54" s="498"/>
      <c r="D54" s="314">
        <f t="shared" si="31"/>
        <v>29</v>
      </c>
      <c r="E54" s="314">
        <f t="shared" si="27"/>
        <v>0</v>
      </c>
      <c r="F54" s="316">
        <f t="shared" si="32"/>
        <v>17</v>
      </c>
      <c r="G54" s="314">
        <f t="shared" si="28"/>
        <v>90</v>
      </c>
      <c r="H54" s="314">
        <f t="shared" si="33"/>
        <v>0</v>
      </c>
      <c r="I54" s="314">
        <f t="shared" si="29"/>
        <v>0</v>
      </c>
      <c r="J54" s="314">
        <f t="shared" si="30"/>
        <v>90</v>
      </c>
      <c r="M54" s="340"/>
      <c r="N54" s="326">
        <f t="shared" si="15"/>
        <v>0</v>
      </c>
      <c r="O54" s="326">
        <f t="shared" si="16"/>
        <v>0</v>
      </c>
      <c r="P54" s="326">
        <f t="shared" si="17"/>
        <v>0</v>
      </c>
      <c r="Q54" s="340">
        <f t="shared" si="18"/>
        <v>0</v>
      </c>
      <c r="R54" s="340">
        <f>IF(シート１!$L$18="いいえ",Q54,J56)</f>
        <v>72</v>
      </c>
      <c r="T54" s="344">
        <f t="shared" si="19"/>
        <v>0</v>
      </c>
      <c r="U54" s="344">
        <f t="shared" si="20"/>
        <v>0</v>
      </c>
      <c r="V54" s="344">
        <f t="shared" si="21"/>
        <v>0</v>
      </c>
      <c r="W54" s="340">
        <f t="shared" si="22"/>
        <v>0</v>
      </c>
      <c r="X54" s="345">
        <f>IF(シート１!$K$18="いいえ",W54,J28)</f>
        <v>54</v>
      </c>
      <c r="Y54" s="306">
        <v>43</v>
      </c>
      <c r="AB54" s="326">
        <f t="shared" si="23"/>
        <v>0</v>
      </c>
      <c r="AC54" s="326">
        <f t="shared" si="24"/>
        <v>0</v>
      </c>
      <c r="AD54" s="326">
        <f t="shared" si="25"/>
        <v>0</v>
      </c>
      <c r="AE54" s="340">
        <f t="shared" si="34"/>
        <v>0</v>
      </c>
      <c r="AF54" s="336">
        <f>IF(シート１!$K$18="いいえ",AE54,J56)</f>
        <v>72</v>
      </c>
    </row>
    <row r="55" spans="1:32" ht="15" thickTop="1" thickBot="1" x14ac:dyDescent="0.2">
      <c r="A55" s="303"/>
      <c r="B55" s="497">
        <v>2039</v>
      </c>
      <c r="C55" s="498"/>
      <c r="D55" s="314">
        <f t="shared" si="31"/>
        <v>30</v>
      </c>
      <c r="E55" s="314">
        <f t="shared" si="27"/>
        <v>0</v>
      </c>
      <c r="F55" s="316">
        <f t="shared" si="32"/>
        <v>18</v>
      </c>
      <c r="G55" s="314">
        <f t="shared" si="28"/>
        <v>72</v>
      </c>
      <c r="H55" s="314">
        <f t="shared" si="33"/>
        <v>0</v>
      </c>
      <c r="I55" s="314">
        <f t="shared" si="29"/>
        <v>0</v>
      </c>
      <c r="J55" s="314">
        <f t="shared" si="30"/>
        <v>72</v>
      </c>
      <c r="K55" s="303"/>
      <c r="L55" s="303"/>
      <c r="M55" s="340"/>
      <c r="N55" s="326">
        <f t="shared" si="15"/>
        <v>0</v>
      </c>
      <c r="O55" s="326">
        <f t="shared" si="16"/>
        <v>0</v>
      </c>
      <c r="P55" s="326">
        <f t="shared" si="17"/>
        <v>0</v>
      </c>
      <c r="Q55" s="340">
        <f t="shared" ref="Q55:Q60" si="35">+N55+O55+P55</f>
        <v>0</v>
      </c>
      <c r="R55" s="336">
        <f>IF(シート１!$K$18="いいえ",Q55,J57)</f>
        <v>72</v>
      </c>
      <c r="T55" s="344">
        <f t="shared" si="19"/>
        <v>0</v>
      </c>
      <c r="U55" s="344">
        <f t="shared" si="20"/>
        <v>0</v>
      </c>
      <c r="V55" s="344">
        <f t="shared" si="21"/>
        <v>0</v>
      </c>
      <c r="W55" s="340">
        <f t="shared" si="22"/>
        <v>0</v>
      </c>
      <c r="X55" s="345">
        <f>IF(シート１!$K$18="いいえ",W55,J29)</f>
        <v>54</v>
      </c>
      <c r="Y55" s="306">
        <v>44</v>
      </c>
      <c r="AB55" s="326">
        <f t="shared" si="23"/>
        <v>0</v>
      </c>
      <c r="AC55" s="326">
        <f t="shared" si="24"/>
        <v>0</v>
      </c>
      <c r="AD55" s="326">
        <f t="shared" si="25"/>
        <v>0</v>
      </c>
      <c r="AE55" s="340">
        <f t="shared" si="34"/>
        <v>0</v>
      </c>
      <c r="AF55" s="336">
        <f>IF(シート１!$K$18="いいえ",AE55,J57)</f>
        <v>72</v>
      </c>
    </row>
    <row r="56" spans="1:32" ht="15" thickTop="1" thickBot="1" x14ac:dyDescent="0.2">
      <c r="B56" s="497">
        <v>2040</v>
      </c>
      <c r="C56" s="498"/>
      <c r="D56" s="314">
        <f t="shared" si="31"/>
        <v>31</v>
      </c>
      <c r="E56" s="314">
        <f t="shared" si="27"/>
        <v>0</v>
      </c>
      <c r="F56" s="316">
        <f t="shared" si="32"/>
        <v>19</v>
      </c>
      <c r="G56" s="314">
        <f t="shared" si="28"/>
        <v>72</v>
      </c>
      <c r="H56" s="314">
        <f t="shared" si="33"/>
        <v>0</v>
      </c>
      <c r="I56" s="314">
        <f t="shared" si="29"/>
        <v>0</v>
      </c>
      <c r="J56" s="314">
        <f t="shared" si="30"/>
        <v>72</v>
      </c>
      <c r="M56" s="340"/>
      <c r="N56" s="326">
        <f t="shared" si="15"/>
        <v>0</v>
      </c>
      <c r="O56" s="326">
        <f t="shared" si="16"/>
        <v>0</v>
      </c>
      <c r="P56" s="326">
        <f t="shared" si="17"/>
        <v>0</v>
      </c>
      <c r="Q56" s="340">
        <f t="shared" si="35"/>
        <v>0</v>
      </c>
      <c r="R56" s="340">
        <f>IF(シート１!$K$18="いいえ",Q56,J58)</f>
        <v>72</v>
      </c>
      <c r="T56" s="344">
        <f t="shared" si="19"/>
        <v>0</v>
      </c>
      <c r="U56" s="344">
        <f t="shared" si="20"/>
        <v>0</v>
      </c>
      <c r="V56" s="344">
        <f t="shared" si="21"/>
        <v>0</v>
      </c>
      <c r="W56" s="340">
        <f t="shared" si="22"/>
        <v>0</v>
      </c>
      <c r="X56" s="345">
        <f>IF(シート１!$K$18="いいえ",W56,J30)</f>
        <v>54</v>
      </c>
      <c r="Y56" s="306">
        <v>45</v>
      </c>
      <c r="AB56" s="326">
        <f t="shared" si="23"/>
        <v>0</v>
      </c>
      <c r="AC56" s="326">
        <f t="shared" si="24"/>
        <v>0</v>
      </c>
      <c r="AD56" s="326">
        <f t="shared" si="25"/>
        <v>0</v>
      </c>
      <c r="AE56" s="340">
        <f t="shared" si="34"/>
        <v>0</v>
      </c>
      <c r="AF56" s="336">
        <f>IF(シート１!$K$18="いいえ",AE56,J58)</f>
        <v>72</v>
      </c>
    </row>
    <row r="57" spans="1:32" ht="15" thickTop="1" thickBot="1" x14ac:dyDescent="0.2">
      <c r="B57" s="497">
        <v>2041</v>
      </c>
      <c r="C57" s="498"/>
      <c r="D57" s="314">
        <f t="shared" si="31"/>
        <v>32</v>
      </c>
      <c r="E57" s="314">
        <f t="shared" ref="E57:E65" si="36">VLOOKUP(D57,$M$8:$P$31,3,1)</f>
        <v>0</v>
      </c>
      <c r="F57" s="316">
        <f t="shared" si="32"/>
        <v>20</v>
      </c>
      <c r="G57" s="314">
        <f t="shared" ref="G57:G65" si="37">VLOOKUP(F57,$M$8:$P$31,3,1)</f>
        <v>72</v>
      </c>
      <c r="H57" s="314">
        <f t="shared" si="33"/>
        <v>0</v>
      </c>
      <c r="I57" s="314">
        <f t="shared" ref="I57:I65" si="38">VLOOKUP(H57,$M$8:$P$31,3,1)</f>
        <v>0</v>
      </c>
      <c r="J57" s="314">
        <f t="shared" ref="J57:J65" si="39">+E57+G57+I57</f>
        <v>72</v>
      </c>
      <c r="M57" s="340"/>
      <c r="N57" s="326">
        <f t="shared" si="15"/>
        <v>0</v>
      </c>
      <c r="O57" s="326">
        <f t="shared" si="16"/>
        <v>0</v>
      </c>
      <c r="P57" s="326">
        <f t="shared" si="17"/>
        <v>0</v>
      </c>
      <c r="Q57" s="340">
        <f t="shared" si="35"/>
        <v>0</v>
      </c>
      <c r="R57" s="340">
        <f>IF(シート１!$K$18="いいえ",Q57,J59)</f>
        <v>0</v>
      </c>
      <c r="T57" s="344">
        <f t="shared" si="19"/>
        <v>0</v>
      </c>
      <c r="U57" s="344">
        <f t="shared" si="20"/>
        <v>0</v>
      </c>
      <c r="V57" s="344">
        <f t="shared" si="21"/>
        <v>0</v>
      </c>
      <c r="W57" s="340">
        <f t="shared" si="22"/>
        <v>0</v>
      </c>
      <c r="X57" s="345">
        <f>IF(シート１!$K$18="いいえ",W57,J31)</f>
        <v>0</v>
      </c>
      <c r="Y57" s="306">
        <v>46</v>
      </c>
      <c r="AB57" s="326">
        <f t="shared" si="23"/>
        <v>0</v>
      </c>
      <c r="AC57" s="326">
        <f t="shared" si="24"/>
        <v>0</v>
      </c>
      <c r="AD57" s="326">
        <f t="shared" si="25"/>
        <v>0</v>
      </c>
      <c r="AE57" s="340">
        <f t="shared" si="34"/>
        <v>0</v>
      </c>
      <c r="AF57" s="336">
        <f>IF(シート１!$K$18="いいえ",AE57,J59)</f>
        <v>0</v>
      </c>
    </row>
    <row r="58" spans="1:32" ht="15" thickTop="1" thickBot="1" x14ac:dyDescent="0.2">
      <c r="B58" s="497">
        <v>2042</v>
      </c>
      <c r="C58" s="498"/>
      <c r="D58" s="314">
        <f t="shared" si="31"/>
        <v>33</v>
      </c>
      <c r="E58" s="314">
        <f t="shared" si="36"/>
        <v>0</v>
      </c>
      <c r="F58" s="316">
        <f t="shared" si="32"/>
        <v>21</v>
      </c>
      <c r="G58" s="314">
        <f t="shared" si="37"/>
        <v>72</v>
      </c>
      <c r="H58" s="314">
        <f t="shared" si="33"/>
        <v>0</v>
      </c>
      <c r="I58" s="314">
        <f t="shared" si="38"/>
        <v>0</v>
      </c>
      <c r="J58" s="314">
        <f t="shared" si="39"/>
        <v>72</v>
      </c>
      <c r="M58" s="340"/>
      <c r="N58" s="326">
        <f t="shared" si="15"/>
        <v>0</v>
      </c>
      <c r="O58" s="326">
        <f t="shared" si="16"/>
        <v>0</v>
      </c>
      <c r="P58" s="326">
        <f t="shared" si="17"/>
        <v>0</v>
      </c>
      <c r="Q58" s="340">
        <f t="shared" si="35"/>
        <v>0</v>
      </c>
      <c r="R58" s="340">
        <f>IF(シート１!$K$18="いいえ",Q58,J60)</f>
        <v>0</v>
      </c>
      <c r="T58" s="344">
        <f t="shared" si="19"/>
        <v>0</v>
      </c>
      <c r="U58" s="344">
        <f t="shared" si="20"/>
        <v>0</v>
      </c>
      <c r="V58" s="344">
        <f t="shared" si="21"/>
        <v>0</v>
      </c>
      <c r="W58" s="340">
        <f t="shared" si="22"/>
        <v>0</v>
      </c>
      <c r="X58" s="345">
        <f>IF(シート１!$K$18="いいえ",W58,J32)</f>
        <v>0</v>
      </c>
      <c r="Y58" s="306">
        <v>47</v>
      </c>
      <c r="AB58" s="326">
        <f t="shared" si="23"/>
        <v>0</v>
      </c>
      <c r="AC58" s="326">
        <f t="shared" si="24"/>
        <v>0</v>
      </c>
      <c r="AD58" s="326">
        <f t="shared" si="25"/>
        <v>0</v>
      </c>
      <c r="AE58" s="340">
        <f t="shared" si="34"/>
        <v>0</v>
      </c>
      <c r="AF58" s="336">
        <f>IF(シート１!$K$18="いいえ",AE58,J60)</f>
        <v>0</v>
      </c>
    </row>
    <row r="59" spans="1:32" ht="15" thickTop="1" thickBot="1" x14ac:dyDescent="0.2">
      <c r="B59" s="497">
        <v>2043</v>
      </c>
      <c r="C59" s="498"/>
      <c r="D59" s="314">
        <f t="shared" si="31"/>
        <v>34</v>
      </c>
      <c r="E59" s="314">
        <f t="shared" si="36"/>
        <v>0</v>
      </c>
      <c r="F59" s="316">
        <f t="shared" si="32"/>
        <v>22</v>
      </c>
      <c r="G59" s="314">
        <f t="shared" si="37"/>
        <v>0</v>
      </c>
      <c r="H59" s="314">
        <f t="shared" si="33"/>
        <v>0</v>
      </c>
      <c r="I59" s="314">
        <f t="shared" si="38"/>
        <v>0</v>
      </c>
      <c r="J59" s="314">
        <f t="shared" si="39"/>
        <v>0</v>
      </c>
      <c r="M59" s="340"/>
      <c r="N59" s="326">
        <f t="shared" si="15"/>
        <v>0</v>
      </c>
      <c r="O59" s="326">
        <f t="shared" si="16"/>
        <v>0</v>
      </c>
      <c r="P59" s="326">
        <f t="shared" si="17"/>
        <v>0</v>
      </c>
      <c r="Q59" s="340">
        <f t="shared" si="35"/>
        <v>0</v>
      </c>
      <c r="R59" s="340">
        <f>IF(シート１!$L$18="いいえ",Q59,J61)</f>
        <v>0</v>
      </c>
      <c r="T59" s="344">
        <f t="shared" si="19"/>
        <v>0</v>
      </c>
      <c r="U59" s="344">
        <f t="shared" si="20"/>
        <v>0</v>
      </c>
      <c r="V59" s="344">
        <f t="shared" si="21"/>
        <v>0</v>
      </c>
      <c r="W59" s="340">
        <f t="shared" si="22"/>
        <v>0</v>
      </c>
      <c r="X59" s="345">
        <f>IF(シート１!$K$18="いいえ",W59,J33)</f>
        <v>0</v>
      </c>
      <c r="Y59" s="306">
        <v>48</v>
      </c>
      <c r="AB59" s="326">
        <f t="shared" si="23"/>
        <v>0</v>
      </c>
      <c r="AC59" s="326">
        <f t="shared" si="24"/>
        <v>0</v>
      </c>
      <c r="AD59" s="326">
        <f t="shared" si="25"/>
        <v>0</v>
      </c>
      <c r="AE59" s="340">
        <f t="shared" si="34"/>
        <v>0</v>
      </c>
      <c r="AF59" s="336">
        <f>IF(シート１!$K$18="いいえ",AE59,J61)</f>
        <v>0</v>
      </c>
    </row>
    <row r="60" spans="1:32" ht="15" thickTop="1" thickBot="1" x14ac:dyDescent="0.2">
      <c r="B60" s="497">
        <v>2044</v>
      </c>
      <c r="C60" s="498"/>
      <c r="D60" s="314">
        <f t="shared" si="31"/>
        <v>35</v>
      </c>
      <c r="E60" s="314">
        <f t="shared" si="36"/>
        <v>0</v>
      </c>
      <c r="F60" s="316">
        <f t="shared" si="32"/>
        <v>23</v>
      </c>
      <c r="G60" s="314">
        <f t="shared" si="37"/>
        <v>0</v>
      </c>
      <c r="H60" s="314">
        <f t="shared" si="33"/>
        <v>0</v>
      </c>
      <c r="I60" s="314">
        <f t="shared" si="38"/>
        <v>0</v>
      </c>
      <c r="J60" s="314">
        <f t="shared" si="39"/>
        <v>0</v>
      </c>
      <c r="M60" s="340"/>
      <c r="N60" s="326">
        <f t="shared" si="15"/>
        <v>0</v>
      </c>
      <c r="O60" s="326">
        <f t="shared" si="16"/>
        <v>0</v>
      </c>
      <c r="P60" s="326">
        <f t="shared" si="17"/>
        <v>0</v>
      </c>
      <c r="Q60" s="340">
        <f t="shared" si="35"/>
        <v>0</v>
      </c>
      <c r="R60" s="336">
        <f>IF(シート１!$K$18="いいえ",Q60,J62)</f>
        <v>0</v>
      </c>
      <c r="T60" s="344">
        <f t="shared" si="19"/>
        <v>0</v>
      </c>
      <c r="U60" s="344">
        <f t="shared" si="20"/>
        <v>0</v>
      </c>
      <c r="V60" s="344">
        <f t="shared" si="21"/>
        <v>0</v>
      </c>
      <c r="W60" s="340">
        <f t="shared" si="22"/>
        <v>0</v>
      </c>
      <c r="X60" s="345">
        <f>IF(シート１!$K$18="いいえ",W60,J34)</f>
        <v>0</v>
      </c>
      <c r="Y60" s="306">
        <v>49</v>
      </c>
      <c r="AB60" s="326">
        <f t="shared" si="23"/>
        <v>0</v>
      </c>
      <c r="AC60" s="326">
        <f t="shared" si="24"/>
        <v>0</v>
      </c>
      <c r="AD60" s="326">
        <f t="shared" si="25"/>
        <v>0</v>
      </c>
      <c r="AE60" s="340">
        <f t="shared" si="34"/>
        <v>0</v>
      </c>
      <c r="AF60" s="336">
        <f>IF(シート１!$K$18="いいえ",AE60,J62)</f>
        <v>0</v>
      </c>
    </row>
    <row r="61" spans="1:32" ht="15" thickTop="1" thickBot="1" x14ac:dyDescent="0.2">
      <c r="B61" s="497">
        <v>2045</v>
      </c>
      <c r="C61" s="498"/>
      <c r="D61" s="314">
        <f t="shared" si="31"/>
        <v>36</v>
      </c>
      <c r="E61" s="314">
        <f t="shared" si="36"/>
        <v>0</v>
      </c>
      <c r="F61" s="316">
        <f t="shared" si="32"/>
        <v>24</v>
      </c>
      <c r="G61" s="314">
        <f t="shared" si="37"/>
        <v>0</v>
      </c>
      <c r="H61" s="314">
        <f t="shared" si="33"/>
        <v>0</v>
      </c>
      <c r="I61" s="314">
        <f t="shared" si="38"/>
        <v>0</v>
      </c>
      <c r="J61" s="314">
        <f t="shared" si="39"/>
        <v>0</v>
      </c>
      <c r="AB61" s="326">
        <f t="shared" si="23"/>
        <v>0</v>
      </c>
      <c r="AC61" s="326">
        <f t="shared" si="24"/>
        <v>0</v>
      </c>
      <c r="AD61" s="326">
        <f t="shared" si="25"/>
        <v>0</v>
      </c>
      <c r="AE61" s="340">
        <f t="shared" si="34"/>
        <v>0</v>
      </c>
      <c r="AF61" s="336">
        <f>IF(シート１!$K$18="いいえ",AE61,J63)</f>
        <v>0</v>
      </c>
    </row>
    <row r="62" spans="1:32" ht="15" thickTop="1" thickBot="1" x14ac:dyDescent="0.2">
      <c r="B62" s="497">
        <v>2046</v>
      </c>
      <c r="C62" s="498"/>
      <c r="D62" s="314">
        <f t="shared" si="31"/>
        <v>37</v>
      </c>
      <c r="E62" s="314">
        <f t="shared" si="36"/>
        <v>0</v>
      </c>
      <c r="F62" s="316">
        <f t="shared" si="32"/>
        <v>25</v>
      </c>
      <c r="G62" s="314">
        <f t="shared" si="37"/>
        <v>0</v>
      </c>
      <c r="H62" s="314">
        <f t="shared" si="33"/>
        <v>0</v>
      </c>
      <c r="I62" s="314">
        <f t="shared" si="38"/>
        <v>0</v>
      </c>
      <c r="J62" s="314">
        <f t="shared" si="39"/>
        <v>0</v>
      </c>
    </row>
    <row r="63" spans="1:32" ht="15" thickTop="1" thickBot="1" x14ac:dyDescent="0.2">
      <c r="B63" s="497">
        <v>2047</v>
      </c>
      <c r="C63" s="498"/>
      <c r="D63" s="314">
        <f t="shared" si="31"/>
        <v>38</v>
      </c>
      <c r="E63" s="314">
        <f t="shared" si="36"/>
        <v>0</v>
      </c>
      <c r="F63" s="316">
        <f t="shared" si="32"/>
        <v>26</v>
      </c>
      <c r="G63" s="314">
        <f t="shared" si="37"/>
        <v>0</v>
      </c>
      <c r="H63" s="314">
        <f t="shared" si="33"/>
        <v>0</v>
      </c>
      <c r="I63" s="314">
        <f t="shared" si="38"/>
        <v>0</v>
      </c>
      <c r="J63" s="314">
        <f t="shared" si="39"/>
        <v>0</v>
      </c>
    </row>
    <row r="64" spans="1:32" ht="15" thickTop="1" thickBot="1" x14ac:dyDescent="0.2">
      <c r="B64" s="497">
        <v>2048</v>
      </c>
      <c r="C64" s="498"/>
      <c r="D64" s="314">
        <f t="shared" si="31"/>
        <v>39</v>
      </c>
      <c r="E64" s="314">
        <f t="shared" si="36"/>
        <v>0</v>
      </c>
      <c r="F64" s="316">
        <f t="shared" si="32"/>
        <v>27</v>
      </c>
      <c r="G64" s="314">
        <f t="shared" si="37"/>
        <v>0</v>
      </c>
      <c r="H64" s="314">
        <f t="shared" si="33"/>
        <v>0</v>
      </c>
      <c r="I64" s="314">
        <f t="shared" si="38"/>
        <v>0</v>
      </c>
      <c r="J64" s="314">
        <f t="shared" si="39"/>
        <v>0</v>
      </c>
    </row>
    <row r="65" spans="2:10" ht="15" thickTop="1" thickBot="1" x14ac:dyDescent="0.2">
      <c r="B65" s="497">
        <v>2049</v>
      </c>
      <c r="C65" s="498"/>
      <c r="D65" s="314">
        <f t="shared" si="31"/>
        <v>40</v>
      </c>
      <c r="E65" s="314">
        <f t="shared" si="36"/>
        <v>0</v>
      </c>
      <c r="F65" s="316">
        <f t="shared" si="32"/>
        <v>28</v>
      </c>
      <c r="G65" s="314">
        <f t="shared" si="37"/>
        <v>0</v>
      </c>
      <c r="H65" s="314">
        <f t="shared" si="33"/>
        <v>0</v>
      </c>
      <c r="I65" s="314">
        <f t="shared" si="38"/>
        <v>0</v>
      </c>
      <c r="J65" s="314">
        <f t="shared" si="39"/>
        <v>0</v>
      </c>
    </row>
    <row r="66" spans="2:10" ht="14.25" thickTop="1" x14ac:dyDescent="0.15"/>
  </sheetData>
  <sheetProtection password="DB61" sheet="1"/>
  <mergeCells count="97">
    <mergeCell ref="B56:C56"/>
    <mergeCell ref="B57:C57"/>
    <mergeCell ref="B58:C58"/>
    <mergeCell ref="B65:C65"/>
    <mergeCell ref="B59:C59"/>
    <mergeCell ref="B60:C60"/>
    <mergeCell ref="B61:C61"/>
    <mergeCell ref="B62:C62"/>
    <mergeCell ref="B63:C63"/>
    <mergeCell ref="B64:C64"/>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3:C33"/>
    <mergeCell ref="B37:C37"/>
    <mergeCell ref="B38:C38"/>
    <mergeCell ref="B39:C39"/>
    <mergeCell ref="B40:C40"/>
    <mergeCell ref="B28:C28"/>
    <mergeCell ref="B29:C29"/>
    <mergeCell ref="B30:C30"/>
    <mergeCell ref="B31:C31"/>
    <mergeCell ref="B32:C32"/>
    <mergeCell ref="B23:C23"/>
    <mergeCell ref="B24:C24"/>
    <mergeCell ref="B25:C25"/>
    <mergeCell ref="B26:C26"/>
    <mergeCell ref="B27:C27"/>
    <mergeCell ref="B15:C15"/>
    <mergeCell ref="B16:C16"/>
    <mergeCell ref="B20:C20"/>
    <mergeCell ref="B21:C21"/>
    <mergeCell ref="B22:C22"/>
    <mergeCell ref="Y27:Z27"/>
    <mergeCell ref="Y28:Z28"/>
    <mergeCell ref="Y29:Z29"/>
    <mergeCell ref="Y30:Z30"/>
    <mergeCell ref="Y31:Z31"/>
    <mergeCell ref="Y22:Z22"/>
    <mergeCell ref="Y23:Z23"/>
    <mergeCell ref="Y24:Z24"/>
    <mergeCell ref="Y25:Z25"/>
    <mergeCell ref="Y26:Z26"/>
    <mergeCell ref="Y17:Z17"/>
    <mergeCell ref="Y18:Z18"/>
    <mergeCell ref="Y19:Z19"/>
    <mergeCell ref="Y20:Z20"/>
    <mergeCell ref="Y21:Z21"/>
    <mergeCell ref="Y12:Z12"/>
    <mergeCell ref="Y13:Z13"/>
    <mergeCell ref="Y14:Z14"/>
    <mergeCell ref="Y15:Z15"/>
    <mergeCell ref="Y16:Z16"/>
    <mergeCell ref="B7:C8"/>
    <mergeCell ref="H35:I35"/>
    <mergeCell ref="D35:E35"/>
    <mergeCell ref="F35:G35"/>
    <mergeCell ref="H7:I7"/>
    <mergeCell ref="F7:G7"/>
    <mergeCell ref="D7:E7"/>
    <mergeCell ref="B17:C17"/>
    <mergeCell ref="B18:C18"/>
    <mergeCell ref="B19:C19"/>
    <mergeCell ref="B9:C9"/>
    <mergeCell ref="B10:C10"/>
    <mergeCell ref="B11:C11"/>
    <mergeCell ref="B12:C12"/>
    <mergeCell ref="B13:C13"/>
    <mergeCell ref="B14:C14"/>
    <mergeCell ref="AE1:AF1"/>
    <mergeCell ref="AA33:AE33"/>
    <mergeCell ref="M33:Q33"/>
    <mergeCell ref="T33:W33"/>
    <mergeCell ref="AA1:AB1"/>
    <mergeCell ref="AC1:AD1"/>
    <mergeCell ref="Y1:Z2"/>
    <mergeCell ref="Y3:Z3"/>
    <mergeCell ref="Y4:Z4"/>
    <mergeCell ref="Y5:Z5"/>
    <mergeCell ref="Y6:Z6"/>
    <mergeCell ref="Y7:Z7"/>
    <mergeCell ref="Y8:Z8"/>
    <mergeCell ref="Y9:Z9"/>
    <mergeCell ref="Y10:Z10"/>
    <mergeCell ref="Y11:Z11"/>
  </mergeCells>
  <phoneticPr fontId="10"/>
  <pageMargins left="0.23622047244094491" right="0.23622047244094491" top="0.74803149606299213" bottom="0.35433070866141736" header="0.31496062992125984" footer="0.31496062992125984"/>
  <pageSetup paperSize="8" scale="82" orientation="landscape" horizontalDpi="4294967293"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T23" sqref="T23"/>
    </sheetView>
  </sheetViews>
  <sheetFormatPr defaultRowHeight="13.5" x14ac:dyDescent="0.15"/>
  <cols>
    <col min="1" max="1" width="4.125" customWidth="1"/>
  </cols>
  <sheetData/>
  <sheetProtection sheet="1"/>
  <phoneticPr fontId="2"/>
  <pageMargins left="1.5748031496062993" right="0.98425196850393704" top="0.98425196850393704" bottom="0.98425196850393704" header="0.51181102362204722" footer="0.51181102362204722"/>
  <pageSetup paperSize="8" scale="145"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シート１</vt:lpstr>
      <vt:lpstr>シート２</vt:lpstr>
      <vt:lpstr>シート４</vt:lpstr>
      <vt:lpstr>シート５</vt:lpstr>
      <vt:lpstr>シート６</vt:lpstr>
      <vt:lpstr>シート７</vt:lpstr>
      <vt:lpstr>グラフ</vt:lpstr>
      <vt:lpstr>シート１!Print_Area</vt:lpstr>
    </vt:vector>
  </TitlesOfParts>
  <Company>jafp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復興くらし再建課</dc:creator>
  <cp:lastModifiedBy>生活再建課　青名畑</cp:lastModifiedBy>
  <cp:lastPrinted>2021-04-02T06:57:07Z</cp:lastPrinted>
  <dcterms:created xsi:type="dcterms:W3CDTF">2011-12-05T06:49:30Z</dcterms:created>
  <dcterms:modified xsi:type="dcterms:W3CDTF">2021-07-01T02:07:39Z</dcterms:modified>
</cp:coreProperties>
</file>